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fc98dbdeb3346ac/Profissional/Pendor Acessoria Financeira/Planilhas/1 - API EXCEL/"/>
    </mc:Choice>
  </mc:AlternateContent>
  <xr:revisionPtr revIDLastSave="942" documentId="8_{F69B8141-43D9-4A8B-83D4-2616D775E46F}" xr6:coauthVersionLast="47" xr6:coauthVersionMax="47" xr10:uidLastSave="{FF08A175-0916-4632-8980-54812A950237}"/>
  <bookViews>
    <workbookView xWindow="-120" yWindow="-120" windowWidth="29040" windowHeight="15840" xr2:uid="{4097707F-7392-4C48-B022-1E112DF50D15}"/>
  </bookViews>
  <sheets>
    <sheet name="Fórmulas" sheetId="1" r:id="rId1"/>
    <sheet name="Unificação N-N" sheetId="2" r:id="rId2"/>
    <sheet name="Precificação" sheetId="3" r:id="rId3"/>
    <sheet name="Demonstrativo SAC" sheetId="4" r:id="rId4"/>
    <sheet name="Demonstrativo PRICE" sheetId="6" r:id="rId5"/>
    <sheet name="Demonstrativo PRICE2" sheetId="5" r:id="rId6"/>
  </sheets>
  <definedNames>
    <definedName name="CALC.BHASKARA">_xlfn.LAMBDA(_xlpm.A,_xlpm.B,_xlpm.C,_xlfn.VSTACK((-_xlpm.B+SQRT((_xlpm.B^2)-(4*_xlpm.A*_xlpm.C)))/(2*_xlpm.A),(-_xlpm.B-SQRT((_xlpm.B^2)-(4*_xlpm.A*_xlpm.C)))/(2*_xlpm.A)))</definedName>
    <definedName name="CALC.BHASKARA.X1">_xlfn.LAMBDA(_xlpm.A,_xlpm.B,_xlpm.C,(-_xlpm.B+SQRT((_xlpm.B^2)-(4*_xlpm.A*_xlpm.C)))/(2*_xlpm.A))</definedName>
    <definedName name="CALC.BHASKARA.X2">_xlfn.LAMBDA(_xlpm.A,_xlpm.B,_xlpm.C,(-_xlpm.B-SQRT((_xlpm.B^2)-(4*_xlpm.A*_xlpm.C)))/(2*_xlpm.A))</definedName>
    <definedName name="CALC.PV.HIBRIDO">_xlfn.LAMBDA(_xlpm.CUSTO,_xlpm.SOMA_PERC_LUCRO,_xlpm.SOMA_PERC_PV,_xlpm.CUSTO*(1-_xlpm.SOMA_PERC_LUCRO)/(1-_xlpm.SOMA_PERC_LUCRO-_xlpm.SOMA_PERC_PV))</definedName>
    <definedName name="CONT.REPETICOES">_xlfn.LAMBDA(_xlpm.CELULA,_xlpm.CARACTERE,LEN(_xlpm.CELULA)-LEN(SUBSTITUTE(_xlpm.CELULA,_xlpm.CARACTERE,"")))</definedName>
    <definedName name="DISTANCIA.COORDENADA">_xlfn.LAMBDA(_xlpm.LAT_ORIGEM,_xlpm.LONG_ORIGEM,_xlpm.LAT_DESTINO,_xlpm.LONG_DESTINO,6371*ACOS(COS(PI()*(90-_xlpm.LAT_DESTINO)/180)*COS((90-_xlpm.LAT_ORIGEM)*PI()/180)+SIN((90-_xlpm.LAT_DESTINO)*PI()/180)*SIN((90-_xlpm.LAT_ORIGEM)*PI()/180)*COS((_xlpm.LONG_ORIGEM-_xlpm.LONG_DESTINO)*PI()/180)))</definedName>
    <definedName name="INDICE.BUSCA">_xlfn.LAMBDA(_xlpm.INTERVALO_CRITERIO,_xlpm.CRITERIO,     _xlfn._xlws.FILTER(         IF(_xlpm.INTERVALO_CRITERIO=_xlpm.CRITERIO,ROW(_xlpm.INTERVALO_CRITERIO)-ROW(OFFSET(_xlpm.INTERVALO_CRITERIO,0,0,1))+1,""),         IF(_xlpm.INTERVALO_CRITERIO=_xlpm.CRITERIO,ROW(_xlpm.INTERVALO_CRITERIO)-ROW(OFFSET(_xlpm.INTERVALO_CRITERIO,0,0,1))+1,"")&lt;&gt;""))</definedName>
    <definedName name="MEDIA.PONDERADA">_xlfn.LAMBDA(_xlpm.VALOR,_xlpm.PESO,SUMPRODUCT(_xlpm.VALOR,_xlpm.PESO)/SUM(_xlpm.PESO))</definedName>
    <definedName name="MES.REF.TEXTO">_xlfn.LAMBDA(_xlpm.Mes_Ref,CHOOSE(IF(_xlpm.Mes_Ref&gt;12,MONTH(_xlpm.Mes_Ref),_xlpm.Mes_Ref),"Jan","Fev","Mar","Abr","Mai","Jun","Jul","Ago","Set","Out","Nov","Dez"))</definedName>
    <definedName name="PRICE.AMORTIZACAO.BUSCAR">_xlfn.LAMBDA(_xlpm.SALDO_DEVEDOR,_xlpm.TOTAL_PARCELAS,_xlpm.PARCELA_PROCURADA,_xlpm.TAXA_DE_JUROS,FV(_xlpm.TAXA_DE_JUROS,_xlpm.PARCELA_PROCURADA-1,,-(PMT(_xlpm.TAXA_DE_JUROS,_xlpm.TOTAL_PARCELAS,-_xlpm.SALDO_DEVEDOR)-(_xlpm.SALDO_DEVEDOR*_xlpm.TAXA_DE_JUROS))))</definedName>
    <definedName name="PRICE.AMORTIZACAO.PRIMEIRA">_xlfn.LAMBDA(_xlpm.SALDO_DEVEDOR,_xlpm.TOTAL_PARCELAS,_xlpm.TAXA_DE_JUROS,PMT(_xlpm.TAXA_DE_JUROS,_xlpm.TOTAL_PARCELAS,-_xlpm.SALDO_DEVEDOR)-(_xlpm.SALDO_DEVEDOR*_xlpm.TAXA_DE_JUROS))</definedName>
    <definedName name="PRICE.AMORTIZACAO.ULTIMA">_xlfn.LAMBDA(_xlpm.SALDO_DEVEDOR,_xlpm.TOTAL_PARCELAS,_xlpm.TAXA_DE_JUROS,FV(_xlpm.TAXA_DE_JUROS,_xlpm.TOTAL_PARCELAS-1,,-(PMT(_xlpm.TAXA_DE_JUROS,_xlpm.TOTAL_PARCELAS,-_xlpm.SALDO_DEVEDOR)-(_xlpm.SALDO_DEVEDOR*_xlpm.TAXA_DE_JUROS))))</definedName>
    <definedName name="PRICE.JUROS.BUSCAR">_xlfn.LAMBDA(_xlpm.SALDO_DEVEDOR,_xlpm.TOTAL_PARCELAS,_xlpm.PARCELA_PROCURADA,_xlpm.TAXA_DE_JUROS,     IF(_xlpm.PARCELA_PROCURADA&lt;2,         _xlpm.SALDO_DEVEDOR,         _xlpm.SALDO_DEVEDOR-SUM(FV(_xlpm.TAXA_DE_JUROS,_xlfn.SEQUENCE(_xlpm.PARCELA_PROCURADA-1)-1,,-(PMT(_xlpm.TAXA_DE_JUROS,_xlpm.TOTAL_PARCELAS,-_xlpm.SALDO_DEVEDOR)-(_xlpm.SALDO_DEVEDOR*_xlpm.TAXA_DE_JUROS)))))*_xlpm.TAXA_DE_JUROS)</definedName>
    <definedName name="PRICE.JUROS.PRIMEIRA">_xlfn.LAMBDA(_xlpm.SALDO_DEVEDOR,_xlpm.TAXA_DE_JUROS,_xlpm.SALDO_DEVEDOR*_xlpm.TAXA_DE_JUROS)</definedName>
    <definedName name="PRICE.JUROS.TOTAL">_xlfn.LAMBDA(_xlpm.SALDO_DEVEDOR,_xlpm.TOTAL_PARCELAS,_xlpm.TAXA_DE_JUROS,(PMT(_xlpm.TAXA_DE_JUROS,_xlpm.TOTAL_PARCELAS,-_xlpm.SALDO_DEVEDOR)*_xlpm.TOTAL_PARCELAS)-_xlpm.SALDO_DEVEDOR)</definedName>
    <definedName name="PRICE.JUROS.ULTIMA">_xlfn.LAMBDA(_xlpm.SALDO_DEVEDOR,_xlpm.TOTAL_PARCELAS,_xlpm.TAXA_DE_JUROS,     (_xlpm.SALDO_DEVEDOR-SUM(FV(_xlpm.TAXA_DE_JUROS,_xlfn.SEQUENCE(_xlpm.TOTAL_PARCELAS-1)-1,,-(PMT(_xlpm.TAXA_DE_JUROS,_xlpm.TOTAL_PARCELAS,-_xlpm.SALDO_DEVEDOR)-(_xlpm.SALDO_DEVEDOR*_xlpm.TAXA_DE_JUROS)))))*_xlpm.TAXA_DE_JUROS)</definedName>
    <definedName name="PRICE.PARCELA.PRIMEIRA">_xlfn.LAMBDA(_xlpm.SALDO_DEVEDOR,_xlpm.TOTAL_PARCELAS,_xlpm.TAXA_DE_JUROS,PMT(_xlpm.TAXA_DE_JUROS,_xlpm.TOTAL_PARCELAS,-_xlpm.SALDO_DEVEDOR))</definedName>
    <definedName name="PRICE.PARCELA.TOTAL">_xlfn.LAMBDA(_xlpm.SALDO_DEVEDOR,_xlpm.TOTAL_PARCELAS,_xlpm.TAXA_DE_JUROS,PMT(_xlpm.TAXA_DE_JUROS,_xlpm.TOTAL_PARCELAS,-_xlpm.SALDO_DEVEDOR)*_xlpm.TOTAL_PARCELAS)</definedName>
    <definedName name="PRICE.PARCELA.ULTIMA">_xlfn.LAMBDA(_xlpm.SALDO_DEVEDOR,_xlpm.TOTAL_PARCELAS,_xlpm.TAXA_DE_JUROS,PMT(_xlpm.TAXA_DE_JUROS,_xlpm.TOTAL_PARCELAS,-_xlpm.SALDO_DEVEDOR))</definedName>
    <definedName name="PRICE.SALDO.BUSCAR">_xlfn.LAMBDA(_xlpm.SALDO_DEVEDOR,_xlpm.TOTAL_PARCELAS,_xlpm.PARCELA_PROCURADA,_xlpm.TAXA_DE_JUROS,     IF(_xlpm.PARCELA_PROCURADA&lt;2,         _xlpm.SALDO_DEVEDOR,         _xlpm.SALDO_DEVEDOR-SUM(FV(_xlpm.TAXA_DE_JUROS,_xlfn.SEQUENCE(_xlpm.PARCELA_PROCURADA-1)-1,,-(PMT(_xlpm.TAXA_DE_JUROS,_xlpm.TOTAL_PARCELAS,-_xlpm.SALDO_DEVEDOR)-(_xlpm.SALDO_DEVEDOR*_xlpm.TAXA_DE_JUROS))))))</definedName>
    <definedName name="PRICE.TABELA.AMORTIZACAO">_xlfn.LAMBDA(_xlpm.SALDO_DEVEDOR,_xlpm.TOTAL_PARCELAS,_xlpm.TAXA_DE_JUROS,     FV(_xlpm.TAXA_DE_JUROS,_xlfn.SEQUENCE(_xlpm.TOTAL_PARCELAS)-1,,-(PMT(_xlpm.TAXA_DE_JUROS,_xlpm.TOTAL_PARCELAS,-_xlpm.SALDO_DEVEDOR)-(_xlpm.SALDO_DEVEDOR*_xlpm.TAXA_DE_JUROS))))</definedName>
    <definedName name="PRICE.TABELA.COMPLETA">_xlfn.LAMBDA(_xlpm.SALDO_DEVEDOR,_xlpm.TOTAL_PARCELAS,_xlpm.TAXA_DE_JUROS, _xlfn.HSTACK(     _xlfn.VSTACK("PERIODO",_xlfn.SEQUENCE(_xlpm.TOTAL_PARCELAS)),     _xlfn.VSTACK("SALDO DEVEDOR",_xlpm.SALDO_DEVEDOR-FV(_xlpm.TAXA_DE_JUROS,_xlfn.SEQUENCE(_xlpm.TOTAL_PARCELAS)-1,-(PMT(_xlpm.TAXA_DE_JUROS,_xlpm.TOTAL_PARCELAS,-_xlpm.SALDO_DEVEDOR)-(_xlpm.SALDO_DEVEDOR*_xlpm.TAXA_DE_JUROS)))),     _xlfn.VSTACK("AMORT",FV(_xlpm.TAXA_DE_JUROS,_xlfn.SEQUENCE(_xlpm.TOTAL_PARCELAS)-1,,-(PMT(_xlpm.TAXA_DE_JUROS,_xlpm.TOTAL_PARCELAS,-_xlpm.SALDO_DEVEDOR)-(_xlpm.SALDO_DEVEDOR*_xlpm.TAXA_DE_JUROS)))),     _xlfn.VSTACK("JUROS",_xlfn.SEQUENCE(_xlpm.TOTAL_PARCELAS,,PMT(_xlpm.TAXA_DE_JUROS,_xlpm.TOTAL_PARCELAS,-_xlpm.SALDO_DEVEDOR),0)-FV(_xlpm.TAXA_DE_JUROS,_xlfn.SEQUENCE(_xlpm.TOTAL_PARCELAS)-1,,-(PMT(_xlpm.TAXA_DE_JUROS,_xlpm.TOTAL_PARCELAS,-_xlpm.SALDO_DEVEDOR)-(_xlpm.SALDO_DEVEDOR*_xlpm.TAXA_DE_JUROS)))),     _xlfn.VSTACK("PARCELA",_xlfn.SEQUENCE(_xlpm.TOTAL_PARCELAS,,PMT(_xlpm.TAXA_DE_JUROS,_xlpm.TOTAL_PARCELAS,-_xlpm.SALDO_DEVEDOR),0))))</definedName>
    <definedName name="PRICE.TABELA.JUROS">_xlfn.LAMBDA(_xlpm.SALDO_DEVEDOR,_xlpm.TOTAL_PARCELAS,_xlpm.TAXA_DE_JUROS,     _xlfn.SEQUENCE(_xlpm.TOTAL_PARCELAS,,PMT(_xlpm.TAXA_DE_JUROS,_xlpm.TOTAL_PARCELAS,-_xlpm.SALDO_DEVEDOR),0)-     FV(_xlpm.TAXA_DE_JUROS,_xlfn.SEQUENCE(_xlpm.TOTAL_PARCELAS)-1,,-(PMT(_xlpm.TAXA_DE_JUROS,_xlpm.TOTAL_PARCELAS,-_xlpm.SALDO_DEVEDOR)-(_xlpm.SALDO_DEVEDOR*_xlpm.TAXA_DE_JUROS))))</definedName>
    <definedName name="PRICE.TABELA.PARCELAS">_xlfn.LAMBDA(_xlpm.SALDO_DEVEDOR,_xlpm.TOTAL_PARCELAS,_xlpm.TAXA_DE_JUROS,_xlfn.SEQUENCE(_xlpm.TOTAL_PARCELAS,,PMT(_xlpm.TAXA_DE_JUROS,_xlpm.TOTAL_PARCELAS,-_xlpm.SALDO_DEVEDOR),0))</definedName>
    <definedName name="PRICE.TABELA.PERIODOS">_xlfn.LAMBDA(_xlpm.TOTAL_PARCELAS,_xlfn.SEQUENCE(_xlpm.TOTAL_PARCELAS))</definedName>
    <definedName name="PRICE.TABELA.SALDO">_xlfn.LAMBDA(_xlpm.SALDO_DEVEDOR,_xlpm.TOTAL_PARCELAS,_xlpm.TAXA_DE_JUROS,_xlpm.SALDO_DEVEDOR-FV(_xlpm.TAXA_DE_JUROS,_xlfn.SEQUENCE(_xlpm.TOTAL_PARCELAS)-1,-(PMT(_xlpm.TAXA_DE_JUROS,_xlpm.TOTAL_PARCELAS,-_xlpm.SALDO_DEVEDOR)-(_xlpm.SALDO_DEVEDOR*_xlpm.TAXA_DE_JUROS))))</definedName>
    <definedName name="SAC.AMORTIZACAO.BUSCAR">_xlfn.LAMBDA(_xlpm.SALDO_DEVEDOR,_xlpm.TOTAL_PARCELAS,_xlpm.SALDO_DEVEDOR/_xlpm.TOTAL_PARCELAS)</definedName>
    <definedName name="SAC.AMORTIZACAO.PRIMEIRA">_xlfn.LAMBDA(_xlpm.SALDO_DEVEDOR,_xlpm.TOTAL_PARCELAS,_xlpm.SALDO_DEVEDOR/_xlpm.TOTAL_PARCELAS)</definedName>
    <definedName name="SAC.AMORTIZACAO.ULTIMA">_xlfn.LAMBDA(_xlpm.SALDO_DEVEDOR,_xlpm.TOTAL_PARCELAS,_xlpm.SALDO_DEVEDOR/_xlpm.TOTAL_PARCELAS)</definedName>
    <definedName name="SAC.JUROS.BUSCAR">_xlfn.LAMBDA(_xlpm.SALDO_DEVEDOR,_xlpm.TOTAL_PARCELAS,_xlpm.TAXA_DE_JUROS,_xlpm.PARCELA_PROCURADA,(_xlpm.SALDO_DEVEDOR-(_xlpm.SALDO_DEVEDOR/_xlpm.TOTAL_PARCELAS)*(_xlpm.PARCELA_PROCURADA-1))*_xlpm.TAXA_DE_JUROS)</definedName>
    <definedName name="SAC.JUROS.PRIMEIRA">_xlfn.LAMBDA(_xlpm.SALDO_DEVEDOR,_xlpm.TOTAL_PARCELAS,_xlpm.TAXA_DE_JUROS,((_xlpm.SALDO_DEVEDOR/_xlpm.TOTAL_PARCELAS) + (_xlpm.SALDO_DEVEDOR*_xlpm.TAXA_DE_JUROS))-(_xlpm.SALDO_DEVEDOR/_xlpm.TOTAL_PARCELAS))</definedName>
    <definedName name="SAC.JUROS.TOTAL">_xlfn.LAMBDA(_xlpm.SALDO_DEVEDOR,_xlpm.TOTAL_PARCELAS,_xlpm.TAXA_DE_JUROS,SUM( (_xlpm.SALDO_DEVEDOR / _xlpm.TOTAL_PARCELAS) + (_xlpm.SALDO_DEVEDOR * _xlpm.TAXA_DE_JUROS * (1 - (_xlfn.SEQUENCE(_xlpm.TOTAL_PARCELAS) - 1) / _xlpm.TOTAL_PARCELAS)))-_xlpm.SALDO_DEVEDOR)</definedName>
    <definedName name="SAC.JUROS.ULTIMA">_xlfn.LAMBDA(_xlpm.SALDO_DEVEDOR,_xlpm.TOTAL_PARCELAS,_xlpm.TAXA_DE_JUROS,(_xlpm.SALDO_DEVEDOR-(_xlpm.SALDO_DEVEDOR/_xlpm.TOTAL_PARCELAS)*(_xlpm.TOTAL_PARCELAS-1))*_xlpm.TAXA_DE_JUROS)</definedName>
    <definedName name="SAC.PARCELA.BUSCAR">_xlfn.LAMBDA(_xlpm.SALDO_DEVEDOR,_xlpm.TOTAL_PARCELAS,_xlpm.TAXA_DE_JUROS,_xlpm.PARCELA_PROCURADA, (_xlpm.SALDO_DEVEDOR / _xlpm.TOTAL_PARCELAS) + (_xlpm.SALDO_DEVEDOR * _xlpm.TAXA_DE_JUROS * (1 - (_xlpm.PARCELA_PROCURADA - 1) / _xlpm.TOTAL_PARCELAS)))</definedName>
    <definedName name="SAC.PARCELA.PRIMEIRA">_xlfn.LAMBDA(_xlpm.SALDO_DEVEDOR,_xlpm.TOTAL_PARCELAS,_xlpm.TAXA_DE_JUROS,(_xlpm.SALDO_DEVEDOR/_xlpm.TOTAL_PARCELAS) + (_xlpm.SALDO_DEVEDOR*_xlpm.TAXA_DE_JUROS))</definedName>
    <definedName name="SAC.PARCELA.TOTAL">_xlfn.LAMBDA(_xlpm.SALDO_DEVEDOR,_xlpm.TOTAL_PARCELAS,_xlpm.TAXA_DE_JUROS,SUM( (_xlpm.SALDO_DEVEDOR / _xlpm.TOTAL_PARCELAS) + (_xlpm.SALDO_DEVEDOR * _xlpm.TAXA_DE_JUROS * (1 - (_xlfn.SEQUENCE(_xlpm.TOTAL_PARCELAS) - 1) / _xlpm.TOTAL_PARCELAS))))</definedName>
    <definedName name="SAC.PARCELA.ULTIMA">_xlfn.LAMBDA(_xlpm.SALDO_DEVEDOR,_xlpm.TOTAL_PARCELAS,_xlpm.TAXA_DE_JUROS,(_xlpm.SALDO_DEVEDOR/_xlpm.TOTAL_PARCELAS) * (1+_xlpm.TAXA_DE_JUROS))</definedName>
    <definedName name="SAC.SALDO.BUSCAR">_xlfn.LAMBDA(_xlpm.SALDO_DEVEDOR,_xlpm.TOTAL_PARCELAS,_xlpm.PARCELA_PROCURADA, (_xlpm.SALDO_DEVEDOR-(_xlpm.SALDO_DEVEDOR/_xlpm.TOTAL_PARCELAS)*(_xlpm.PARCELA_PROCURADA-1)))</definedName>
    <definedName name="SAC.TABELA.AMORTIZACAO">_xlfn.LAMBDA(_xlpm.SALDO_DEVEDOR,_xlpm.TOTAL_PARCELAS,_xlfn.SEQUENCE(_xlpm.TOTAL_PARCELAS,,_xlpm.SALDO_DEVEDOR/_xlpm.TOTAL_PARCELAS,0))</definedName>
    <definedName name="SAC.TABELA.COMPLETA">_xlfn.LAMBDA(_xlpm.SALDO_DEVEDOR,_xlpm.TOTAL_PARCELAS,_xlpm.TAXA_DE_JUROS, _xlfn.HSTACK(     _xlfn.VSTACK("PERIODO",_xlfn.SEQUENCE(_xlpm.TOTAL_PARCELAS)),     _xlfn.VSTACK("SALDO DEVEDOR",_xlfn.SEQUENCE(_xlpm.TOTAL_PARCELAS,,_xlpm.SALDO_DEVEDOR,-_xlpm.SALDO_DEVEDOR/_xlpm.TOTAL_PARCELAS)),     _xlfn.VSTACK("AMORT", _xlfn.SEQUENCE(_xlpm.TOTAL_PARCELAS,,_xlpm.SALDO_DEVEDOR/_xlpm.TOTAL_PARCELAS,0)),     _xlfn.VSTACK("JUROS",_xlfn.SEQUENCE(_xlpm.TOTAL_PARCELAS,,_xlpm.SALDO_DEVEDOR,-_xlpm.SALDO_DEVEDOR/_xlpm.TOTAL_PARCELAS)*_xlpm.TAXA_DE_JUROS),     _xlfn.VSTACK("PARCELA",_xlfn.SEQUENCE(_xlpm.TOTAL_PARCELAS,,_xlpm.SALDO_DEVEDOR/_xlpm.TOTAL_PARCELAS,0)+_xlfn.SEQUENCE(_xlpm.TOTAL_PARCELAS,,_xlpm.SALDO_DEVEDOR,-_xlpm.SALDO_DEVEDOR/_xlpm.TOTAL_PARCELAS)*_xlpm.TAXA_DE_JUROS)))</definedName>
    <definedName name="SAC.TABELA.JUROS">_xlfn.LAMBDA(_xlpm.SALDO_DEVEDOR,_xlpm.TOTAL_PARCELAS,_xlpm.TAXA_DE_JUROS,_xlfn.SEQUENCE(_xlpm.TOTAL_PARCELAS,,_xlpm.SALDO_DEVEDOR,-_xlpm.SALDO_DEVEDOR/_xlpm.TOTAL_PARCELAS)*_xlpm.TAXA_DE_JUROS)</definedName>
    <definedName name="SAC.TABELA.PARCELAS">_xlfn.LAMBDA(_xlpm.SALDO_DEVEDOR,_xlpm.TOTAL_PARCELAS,_xlpm.TAXA_DE_JUROS,_xlfn.SEQUENCE(_xlpm.TOTAL_PARCELAS,,_xlpm.SALDO_DEVEDOR/_xlpm.TOTAL_PARCELAS,0)+_xlfn.SEQUENCE(_xlpm.TOTAL_PARCELAS,,_xlpm.SALDO_DEVEDOR,-_xlpm.SALDO_DEVEDOR/_xlpm.TOTAL_PARCELAS)*_xlpm.TAXA_DE_JUROS)</definedName>
    <definedName name="SAC.TABELA.PERIODOS">_xlfn.LAMBDA(_xlpm.TOTAL_PARCELAS,_xlfn.SEQUENCE(_xlpm.TOTAL_PARCELAS))</definedName>
    <definedName name="SAC.TABELA.SALDO">_xlfn.LAMBDA(_xlpm.SALDO_DEVEDOR,_xlpm.TOTAL_PARCELAS,_xlfn.SEQUENCE(_xlpm.TOTAL_PARCELAS,,_xlpm.SALDO_DEVEDOR,-_xlpm.SALDO_DEVEDOR/_xlpm.TOTAL_PARCELAS))</definedName>
    <definedName name="TAXA.ANO.MES">_xlfn.LAMBDA(_xlpm.TAXA_ANUAL,((1+_xlpm.TAXA_ANUAL)^(1/12))-1)</definedName>
    <definedName name="TAXA.MES.ANO">_xlfn.LAMBDA(_xlpm.TAXA_MENSAL,((1+_xlpm.TAXA_MENSAL)^(12))-1)</definedName>
    <definedName name="TEXTO.EXISTENTE">_xlfn.LAMBDA(_xlpm.TEXTO_BUSCADO,_xlpm.CELULA,NOT(ISERROR(SEARCH(_xlpm.TEXTO_BUSCADO,_xlpm.CELULA))))</definedName>
    <definedName name="UNIFICACAO.N.N">_xlfn.LAMBDA(_xlpm.INTERVALO_1,_xlpm.INTERVALO_2, INDEX(_xlpm.INTERVALO_1,ROUNDUP(_xlfn.SEQUENCE(COUNTA(_xlpm.INTERVALO_1)*COUNTA(_xlpm.INTERVALO_2))/COUNTA(_xlpm.INTERVALO_2),0)) &amp; INDEX(_xlpm.INTERVALO_2,_xlfn.SEQUENCE(COUNTA(_xlpm.INTERVALO_1)*COUNTA(_xlpm.INTERVALO_2))-_xlfn.FLOOR.MATH(_xlfn.SEQUENCE(COUNTA(_xlpm.INTERVALO_1)*COUNTA(_xlpm.INTERVALO_2))-0.1,COUNTA(_xlpm.INTERVALO_2))))</definedName>
    <definedName name="VALOR.EXISTE">_xlfn.LAMBDA(_xlpm.VALOR_BUSCADO,_xlpm.INTERVALO,NOT(ISERROR(_xlfn.XLOOKUP(_xlpm.VALOR_BUSCADO,_xlpm.INTERVALO,_xlpm.INTERVALO))))</definedName>
    <definedName name="VOLUME.CILINDRO">_xlfn.LAMBDA(_xlpm.RAIO,_xlpm.ALTURA,PI()*_xlpm.RAIO^2*_xlpm.ALTURA)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6" i="1" l="1" a="1"/>
  <c r="D56" i="1" s="1"/>
  <c r="D55" i="1" l="1" a="1"/>
  <c r="D55" i="1" s="1"/>
  <c r="C15" i="6" a="1"/>
  <c r="C15" i="6" s="1"/>
  <c r="O12" i="6" a="1"/>
  <c r="O12" i="6" s="1"/>
  <c r="N12" i="6" a="1"/>
  <c r="N12" i="6" s="1"/>
  <c r="M9" i="6" a="1"/>
  <c r="M9" i="6" s="1"/>
  <c r="C9" i="6"/>
  <c r="T4" i="6"/>
  <c r="L4" i="6"/>
  <c r="L3" i="6"/>
  <c r="K9" i="6" s="1"/>
  <c r="L2" i="6"/>
  <c r="O15" i="6" s="1" a="1"/>
  <c r="O15" i="6" s="1"/>
  <c r="T1" i="6"/>
  <c r="L1" i="6"/>
  <c r="L9" i="6" s="1" a="1"/>
  <c r="L9" i="6" s="1"/>
  <c r="D54" i="1" a="1"/>
  <c r="D54" i="1" s="1"/>
  <c r="D53" i="1" a="1"/>
  <c r="D53" i="1" s="1"/>
  <c r="D52" i="1" a="1"/>
  <c r="D52" i="1" s="1"/>
  <c r="D51" i="1" a="1"/>
  <c r="D51" i="1" s="1"/>
  <c r="D50" i="1" a="1"/>
  <c r="D50" i="1" s="1"/>
  <c r="D49" i="1" a="1"/>
  <c r="D49" i="1" s="1"/>
  <c r="D48" i="1" a="1"/>
  <c r="D48" i="1" s="1"/>
  <c r="D47" i="1" a="1"/>
  <c r="D47" i="1" s="1"/>
  <c r="D46" i="1" a="1"/>
  <c r="D46" i="1" s="1"/>
  <c r="D45" i="1" a="1"/>
  <c r="D45" i="1" s="1"/>
  <c r="D44" i="1" a="1"/>
  <c r="D44" i="1" s="1"/>
  <c r="D43" i="1" a="1"/>
  <c r="D43" i="1" s="1"/>
  <c r="D42" i="1" a="1"/>
  <c r="D42" i="1" s="1"/>
  <c r="D41" i="1" a="1"/>
  <c r="D41" i="1" s="1"/>
  <c r="D40" i="1" a="1"/>
  <c r="D40" i="1" s="1"/>
  <c r="D39" i="1" a="1"/>
  <c r="D39" i="1" s="1"/>
  <c r="V21" i="5" a="1"/>
  <c r="V21" i="5" s="1"/>
  <c r="W18" i="5" a="1"/>
  <c r="W18" i="5" s="1"/>
  <c r="V18" i="5" a="1"/>
  <c r="V18" i="5" s="1"/>
  <c r="W16" i="5" a="1"/>
  <c r="W16" i="5" s="1"/>
  <c r="V16" i="5" a="1"/>
  <c r="V16" i="5" s="1"/>
  <c r="P21" i="5" a="1"/>
  <c r="P21" i="5" s="1"/>
  <c r="M22" i="5"/>
  <c r="M23" i="5"/>
  <c r="M24" i="5" s="1"/>
  <c r="M25" i="5" s="1"/>
  <c r="M26" i="5" s="1"/>
  <c r="M27" i="5" s="1"/>
  <c r="M28" i="5" s="1"/>
  <c r="M29" i="5" s="1"/>
  <c r="M30" i="5" s="1"/>
  <c r="M31" i="5" s="1"/>
  <c r="W20" i="5" a="1"/>
  <c r="W20" i="5" s="1"/>
  <c r="O21" i="5" a="1"/>
  <c r="O21" i="5" s="1"/>
  <c r="V20" i="5" a="1"/>
  <c r="V20" i="5" s="1"/>
  <c r="S21" i="5" a="1"/>
  <c r="S21" i="5" s="1"/>
  <c r="Q21" i="5" a="1"/>
  <c r="Q21" i="5" s="1"/>
  <c r="W19" i="5" a="1"/>
  <c r="W19" i="5" s="1"/>
  <c r="V19" i="5" a="1"/>
  <c r="V19" i="5" s="1"/>
  <c r="J23" i="5"/>
  <c r="V17" i="5" a="1"/>
  <c r="V17" i="5" s="1"/>
  <c r="V11" i="5" a="1"/>
  <c r="V11" i="5" s="1"/>
  <c r="W11" i="5" a="1"/>
  <c r="W11" i="5" s="1"/>
  <c r="W10" i="5" a="1"/>
  <c r="W10" i="5" s="1"/>
  <c r="V10" i="5" a="1"/>
  <c r="V10" i="5" s="1"/>
  <c r="X15" i="5" a="1"/>
  <c r="X15" i="5" s="1"/>
  <c r="W15" i="5" a="1"/>
  <c r="W15" i="5" s="1"/>
  <c r="V15" i="5" a="1"/>
  <c r="V15" i="5" s="1"/>
  <c r="W13" i="5" a="1"/>
  <c r="W13" i="5" s="1"/>
  <c r="W14" i="5" a="1"/>
  <c r="W14" i="5" s="1"/>
  <c r="V14" i="5" a="1"/>
  <c r="V14" i="5" s="1"/>
  <c r="V13" i="5" a="1"/>
  <c r="V13" i="5" s="1"/>
  <c r="W12" i="5" a="1"/>
  <c r="W12" i="5" s="1"/>
  <c r="V12" i="5" a="1"/>
  <c r="V12" i="5" s="1"/>
  <c r="V12" i="6" l="1" a="1"/>
  <c r="V12" i="6" s="1"/>
  <c r="T2" i="6"/>
  <c r="S14" i="6" s="1" a="1"/>
  <c r="S14" i="6" s="1"/>
  <c r="D15" i="6" a="1"/>
  <c r="D15" i="6" s="1"/>
  <c r="F15" i="6" a="1"/>
  <c r="F15" i="6" s="1"/>
  <c r="E15" i="6" a="1"/>
  <c r="E15" i="6" s="1"/>
  <c r="G15" i="6" s="1" a="1"/>
  <c r="G15" i="6" s="1"/>
  <c r="T3" i="6"/>
  <c r="S9" i="6" s="1"/>
  <c r="U9" i="6" a="1"/>
  <c r="U9" i="6" s="1"/>
  <c r="W12" i="6" a="1"/>
  <c r="W12" i="6" s="1"/>
  <c r="L15" i="6" a="1"/>
  <c r="L15" i="6" s="1"/>
  <c r="N9" i="6" a="1"/>
  <c r="N9" i="6" s="1"/>
  <c r="V9" i="6" a="1"/>
  <c r="V9" i="6" s="1"/>
  <c r="M15" i="6" a="1"/>
  <c r="M15" i="6" s="1"/>
  <c r="O9" i="6" a="1"/>
  <c r="O9" i="6" s="1"/>
  <c r="W9" i="6" a="1"/>
  <c r="W9" i="6" s="1"/>
  <c r="N15" i="6" a="1"/>
  <c r="N15" i="6" s="1"/>
  <c r="K15" i="6" a="1"/>
  <c r="K15" i="6" s="1"/>
  <c r="W6" i="5" a="1"/>
  <c r="W6" i="5" s="1"/>
  <c r="W9" i="5" a="1"/>
  <c r="W9" i="5" s="1"/>
  <c r="V8" i="5" a="1"/>
  <c r="V8" i="5" s="1"/>
  <c r="W8" i="5" a="1"/>
  <c r="W8" i="5" s="1"/>
  <c r="W7" i="5" a="1"/>
  <c r="W7" i="5" s="1"/>
  <c r="W5" i="5" a="1"/>
  <c r="W5" i="5" s="1"/>
  <c r="K22" i="5"/>
  <c r="V9" i="5" a="1"/>
  <c r="V9" i="5" s="1"/>
  <c r="V7" i="5" a="1"/>
  <c r="V7" i="5" s="1"/>
  <c r="H7" i="5" a="1"/>
  <c r="H7" i="5" s="1"/>
  <c r="A7" i="5" a="1"/>
  <c r="A7" i="5" s="1"/>
  <c r="V6" i="5" a="1"/>
  <c r="V6" i="5" s="1"/>
  <c r="V5" i="5" a="1"/>
  <c r="V5" i="5" s="1"/>
  <c r="D35" i="1" a="1"/>
  <c r="D35" i="1" s="1"/>
  <c r="D34" i="1" a="1"/>
  <c r="D34" i="1" s="1"/>
  <c r="D33" i="1" a="1"/>
  <c r="D33" i="1" s="1"/>
  <c r="D32" i="1" a="1"/>
  <c r="D32" i="1" s="1"/>
  <c r="T4" i="4"/>
  <c r="T3" i="4"/>
  <c r="S9" i="4" s="1"/>
  <c r="T1" i="4"/>
  <c r="K15" i="4" a="1"/>
  <c r="K15" i="4" s="1"/>
  <c r="D24" i="1" a="1"/>
  <c r="D24" i="1" s="1"/>
  <c r="D23" i="1" a="1"/>
  <c r="D23" i="1" s="1"/>
  <c r="D22" i="1" a="1"/>
  <c r="D22" i="1" s="1"/>
  <c r="L1" i="4"/>
  <c r="L2" i="4"/>
  <c r="O9" i="4" s="1" a="1"/>
  <c r="O9" i="4" s="1"/>
  <c r="L3" i="4"/>
  <c r="K9" i="4" s="1"/>
  <c r="L4" i="4"/>
  <c r="C9" i="4"/>
  <c r="C15" i="4" a="1"/>
  <c r="C15" i="4" s="1"/>
  <c r="D31" i="1" a="1"/>
  <c r="D31" i="1" s="1"/>
  <c r="D30" i="1" a="1"/>
  <c r="D30" i="1" s="1"/>
  <c r="D29" i="1" a="1"/>
  <c r="D29" i="1" s="1"/>
  <c r="D28" i="1" a="1"/>
  <c r="D28" i="1" s="1"/>
  <c r="D27" i="1" a="1"/>
  <c r="D27" i="1" s="1"/>
  <c r="D26" i="1" a="1"/>
  <c r="D26" i="1" s="1"/>
  <c r="D25" i="1" a="1"/>
  <c r="D25" i="1" s="1"/>
  <c r="D21" i="1" a="1"/>
  <c r="D21" i="1" s="1"/>
  <c r="D20" i="1" a="1"/>
  <c r="D20" i="1" s="1"/>
  <c r="D19" i="1" a="1"/>
  <c r="D19" i="1" s="1"/>
  <c r="D18" i="1" a="1"/>
  <c r="D18" i="1" s="1"/>
  <c r="D17" i="1" a="1"/>
  <c r="D17" i="1" s="1"/>
  <c r="D16" i="1" a="1"/>
  <c r="D16" i="1" s="1"/>
  <c r="D15" i="1" a="1"/>
  <c r="D15" i="1" s="1"/>
  <c r="D14" i="1" a="1"/>
  <c r="D14" i="1" s="1"/>
  <c r="D6" i="1" a="1"/>
  <c r="D6" i="1" s="1"/>
  <c r="D7" i="1" a="1"/>
  <c r="D7" i="1" s="1"/>
  <c r="D13" i="1" a="1"/>
  <c r="D13" i="1" s="1"/>
  <c r="V52" i="3" a="1"/>
  <c r="V52" i="3" s="1"/>
  <c r="G61" i="3"/>
  <c r="E56" i="3"/>
  <c r="O55" i="3"/>
  <c r="L55" i="3"/>
  <c r="I55" i="3"/>
  <c r="O54" i="3"/>
  <c r="L54" i="3"/>
  <c r="I54" i="3"/>
  <c r="O53" i="3"/>
  <c r="L53" i="3"/>
  <c r="I53" i="3"/>
  <c r="O52" i="3"/>
  <c r="N52" i="3"/>
  <c r="N53" i="3" s="1"/>
  <c r="L52" i="3"/>
  <c r="K52" i="3"/>
  <c r="I52" i="3"/>
  <c r="H52" i="3"/>
  <c r="H53" i="3" s="1"/>
  <c r="H54" i="3" s="1"/>
  <c r="H55" i="3" s="1"/>
  <c r="E36" i="3"/>
  <c r="E43" i="3" s="1"/>
  <c r="F38" i="3" s="1"/>
  <c r="F39" i="3" s="1"/>
  <c r="F40" i="3" s="1"/>
  <c r="R32" i="3"/>
  <c r="L32" i="3" s="1"/>
  <c r="N32" i="3"/>
  <c r="N33" i="3" s="1"/>
  <c r="N34" i="3" s="1"/>
  <c r="N35" i="3" s="1"/>
  <c r="K32" i="3"/>
  <c r="K33" i="3" s="1"/>
  <c r="H32" i="3"/>
  <c r="H33" i="3" s="1"/>
  <c r="H34" i="3" s="1"/>
  <c r="E15" i="3"/>
  <c r="E22" i="3" s="1"/>
  <c r="L11" i="3"/>
  <c r="J11" i="3"/>
  <c r="H11" i="3"/>
  <c r="H12" i="3" s="1"/>
  <c r="H13" i="3" s="1"/>
  <c r="H14" i="3" s="1"/>
  <c r="K6" i="2" a="1"/>
  <c r="K6" i="2" s="1"/>
  <c r="D12" i="1" a="1"/>
  <c r="D12" i="1" s="1"/>
  <c r="D11" i="1" a="1"/>
  <c r="D11" i="1" s="1"/>
  <c r="D10" i="1" a="1"/>
  <c r="D10" i="1" s="1"/>
  <c r="D9" i="1" a="1"/>
  <c r="D9" i="1" s="1"/>
  <c r="D8" i="1" a="1"/>
  <c r="D8" i="1" s="1"/>
  <c r="D5" i="1"/>
  <c r="D4" i="1" a="1"/>
  <c r="D4" i="1" s="1"/>
  <c r="T9" i="6" l="1" a="1"/>
  <c r="T9" i="6" s="1"/>
  <c r="E9" i="6" a="1"/>
  <c r="E9" i="6" s="1"/>
  <c r="E12" i="6"/>
  <c r="F12" i="6"/>
  <c r="F9" i="6" a="1"/>
  <c r="F9" i="6" s="1"/>
  <c r="D12" i="6"/>
  <c r="D9" i="6" a="1"/>
  <c r="D9" i="6" s="1"/>
  <c r="B7" i="5" a="1"/>
  <c r="B7" i="5" s="1"/>
  <c r="D7" i="5" s="1" a="1"/>
  <c r="D7" i="5" s="1"/>
  <c r="C7" i="5" a="1"/>
  <c r="C7" i="5" s="1"/>
  <c r="L7" i="5" a="1"/>
  <c r="L7" i="5" s="1"/>
  <c r="L21" i="5" a="1"/>
  <c r="I7" i="5" a="1"/>
  <c r="I7" i="5" s="1"/>
  <c r="K7" i="5" s="1" a="1"/>
  <c r="K7" i="5" s="1"/>
  <c r="L15" i="4" a="1"/>
  <c r="L15" i="4" s="1"/>
  <c r="M15" i="4" a="1"/>
  <c r="M15" i="4" s="1"/>
  <c r="N15" i="4" a="1"/>
  <c r="N15" i="4" s="1"/>
  <c r="T9" i="4" a="1"/>
  <c r="T9" i="4" s="1"/>
  <c r="N9" i="4" a="1"/>
  <c r="N9" i="4" s="1"/>
  <c r="T2" i="4"/>
  <c r="O15" i="4" a="1"/>
  <c r="O15" i="4" s="1"/>
  <c r="U9" i="4" a="1"/>
  <c r="U9" i="4" s="1"/>
  <c r="S14" i="4" a="1"/>
  <c r="S14" i="4" s="1"/>
  <c r="N12" i="4" a="1"/>
  <c r="N12" i="4" s="1"/>
  <c r="O12" i="4" a="1"/>
  <c r="O12" i="4" s="1"/>
  <c r="V9" i="4" a="1"/>
  <c r="V9" i="4" s="1"/>
  <c r="W9" i="4" a="1"/>
  <c r="W9" i="4" s="1"/>
  <c r="L9" i="4" a="1"/>
  <c r="L9" i="4" s="1"/>
  <c r="M9" i="4" a="1"/>
  <c r="M9" i="4" s="1"/>
  <c r="D15" i="4" a="1"/>
  <c r="D15" i="4" s="1"/>
  <c r="F15" i="4" a="1"/>
  <c r="F15" i="4" s="1"/>
  <c r="E15" i="4" a="1"/>
  <c r="E15" i="4" s="1"/>
  <c r="E12" i="4" s="1"/>
  <c r="T53" i="3"/>
  <c r="T52" i="3"/>
  <c r="R52" i="3"/>
  <c r="O32" i="3"/>
  <c r="K53" i="3"/>
  <c r="H59" i="3"/>
  <c r="H60" i="3"/>
  <c r="I32" i="3"/>
  <c r="J52" i="3" a="1"/>
  <c r="J52" i="3" s="1"/>
  <c r="J56" i="3" s="1"/>
  <c r="N54" i="3"/>
  <c r="K54" i="3"/>
  <c r="H35" i="3"/>
  <c r="R33" i="3"/>
  <c r="K34" i="3"/>
  <c r="K35" i="3" s="1"/>
  <c r="E19" i="3"/>
  <c r="E18" i="3"/>
  <c r="E17" i="3"/>
  <c r="I11" i="3" a="1"/>
  <c r="I11" i="3" s="1"/>
  <c r="I15" i="3" s="1"/>
  <c r="J12" i="3"/>
  <c r="J13" i="3" s="1"/>
  <c r="J14" i="3" s="1"/>
  <c r="L12" i="3"/>
  <c r="L13" i="3" s="1"/>
  <c r="L14" i="3" s="1"/>
  <c r="G9" i="6" l="1" a="1"/>
  <c r="G9" i="6" s="1"/>
  <c r="G12" i="6"/>
  <c r="J22" i="5"/>
  <c r="I23" i="5" s="1"/>
  <c r="L21" i="5"/>
  <c r="J7" i="5" a="1"/>
  <c r="J7" i="5" s="1"/>
  <c r="E7" i="5" a="1"/>
  <c r="E7" i="5" s="1"/>
  <c r="V12" i="4" a="1"/>
  <c r="V12" i="4" s="1"/>
  <c r="W12" i="4" a="1"/>
  <c r="W12" i="4" s="1"/>
  <c r="D9" i="4" a="1"/>
  <c r="D9" i="4" s="1"/>
  <c r="D12" i="4"/>
  <c r="F9" i="4" a="1"/>
  <c r="F9" i="4" s="1"/>
  <c r="F12" i="4"/>
  <c r="G15" i="4" a="1"/>
  <c r="G15" i="4" s="1"/>
  <c r="E9" i="4" a="1"/>
  <c r="E9" i="4" s="1"/>
  <c r="R53" i="3"/>
  <c r="V53" i="3" a="1"/>
  <c r="V53" i="3" s="1"/>
  <c r="N55" i="3"/>
  <c r="V54" i="3" a="1"/>
  <c r="V54" i="3" s="1"/>
  <c r="T54" i="3"/>
  <c r="E40" i="3"/>
  <c r="E39" i="3"/>
  <c r="E38" i="3"/>
  <c r="H61" i="3"/>
  <c r="E63" i="3"/>
  <c r="P52" i="3" a="1"/>
  <c r="P52" i="3" s="1"/>
  <c r="P56" i="3" s="1"/>
  <c r="R54" i="3"/>
  <c r="K55" i="3"/>
  <c r="R55" i="3" s="1"/>
  <c r="L33" i="3"/>
  <c r="O33" i="3"/>
  <c r="I33" i="3"/>
  <c r="R34" i="3"/>
  <c r="R35" i="3"/>
  <c r="K11" i="3" a="1"/>
  <c r="K11" i="3" s="1"/>
  <c r="K15" i="3" s="1"/>
  <c r="M11" i="3" a="1"/>
  <c r="E20" i="3"/>
  <c r="F22" i="3" s="1"/>
  <c r="K23" i="5" l="1"/>
  <c r="I24" i="5"/>
  <c r="G9" i="4" a="1"/>
  <c r="G9" i="4" s="1"/>
  <c r="G12" i="4"/>
  <c r="T55" i="3"/>
  <c r="T56" i="3" s="1"/>
  <c r="V55" i="3" a="1"/>
  <c r="V55" i="3" s="1"/>
  <c r="V56" i="3" s="1"/>
  <c r="F59" i="3"/>
  <c r="F58" i="3"/>
  <c r="E58" i="3" s="1"/>
  <c r="R36" i="3"/>
  <c r="H44" i="3" s="1"/>
  <c r="E41" i="3"/>
  <c r="G43" i="3" s="1"/>
  <c r="R56" i="3"/>
  <c r="H64" i="3" s="1"/>
  <c r="M52" i="3" a="1"/>
  <c r="M52" i="3" s="1"/>
  <c r="M56" i="3" s="1"/>
  <c r="O35" i="3"/>
  <c r="L35" i="3"/>
  <c r="I35" i="3"/>
  <c r="L34" i="3"/>
  <c r="I34" i="3"/>
  <c r="O34" i="3"/>
  <c r="P32" i="3" s="1" a="1"/>
  <c r="P32" i="3" s="1"/>
  <c r="P36" i="3" s="1"/>
  <c r="O14" i="3"/>
  <c r="M11" i="3"/>
  <c r="M15" i="3" s="1"/>
  <c r="O13" i="3"/>
  <c r="O12" i="3"/>
  <c r="K24" i="5" l="1"/>
  <c r="J24" i="5" s="1"/>
  <c r="G24" i="5"/>
  <c r="M32" i="3" a="1"/>
  <c r="M32" i="3" s="1"/>
  <c r="M36" i="3" s="1"/>
  <c r="E59" i="3"/>
  <c r="F60" i="3"/>
  <c r="E60" i="3" s="1"/>
  <c r="J32" i="3" a="1"/>
  <c r="J32" i="3" s="1"/>
  <c r="J36" i="3" s="1"/>
  <c r="O11" i="3"/>
  <c r="O15" i="3" s="1"/>
  <c r="H23" i="3" s="1"/>
  <c r="I25" i="5" l="1"/>
  <c r="E61" i="3"/>
  <c r="E65" i="3" s="1"/>
  <c r="G25" i="5" l="1"/>
  <c r="K25" i="5"/>
  <c r="J25" i="5" s="1"/>
  <c r="I26" i="5" l="1"/>
  <c r="K26" i="5"/>
  <c r="J26" i="5" s="1"/>
  <c r="I27" i="5" l="1"/>
  <c r="K27" i="5" l="1"/>
  <c r="J27" i="5" s="1"/>
  <c r="I28" i="5" l="1"/>
  <c r="K28" i="5" l="1"/>
  <c r="J28" i="5" s="1"/>
  <c r="I29" i="5" s="1"/>
  <c r="K29" i="5" l="1"/>
  <c r="J29" i="5" s="1"/>
  <c r="I30" i="5" l="1"/>
  <c r="K30" i="5" l="1"/>
  <c r="J30" i="5" s="1"/>
  <c r="I31" i="5" l="1"/>
  <c r="K31" i="5" s="1"/>
  <c r="J31" i="5" s="1"/>
  <c r="W17" i="5" s="1" a="1"/>
  <c r="W17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<sst xmlns="http://schemas.openxmlformats.org/spreadsheetml/2006/main" count="495" uniqueCount="149">
  <si>
    <t>MES.REF.TEXTO</t>
  </si>
  <si>
    <t>MEDIA.PONDERADA</t>
  </si>
  <si>
    <t>CONT.REPETICOES</t>
  </si>
  <si>
    <t>VALOR.EXISTE</t>
  </si>
  <si>
    <t>RETORNA VERDADEIRO OU FALSO A BUSCA DE UM VALOR UTILIZANDO PROCX</t>
  </si>
  <si>
    <t>CONTA AS REPETIÇÕES DE UMA SEQUÊNCIA DE CARACTERES EM UM TEXTO</t>
  </si>
  <si>
    <t>FAZ O CÁLCULO DA MÉDIA PONDERADA</t>
  </si>
  <si>
    <t>TRANSFORMA UMA DATA OU NÚMERO DE MÊS (1 - 12) EM TEXTO ("jan" a "dez")</t>
  </si>
  <si>
    <t>VOLUME.CILINDRO</t>
  </si>
  <si>
    <t>RETORNA O VALOR EM VOLUME DE UM CILINDRO A PARTIR DO RAIO E ALTURA</t>
  </si>
  <si>
    <t>Fórmula</t>
  </si>
  <si>
    <t>Nome Fórmula</t>
  </si>
  <si>
    <t>Descrição</t>
  </si>
  <si>
    <t>Grupo</t>
  </si>
  <si>
    <t>Conversor</t>
  </si>
  <si>
    <t>Cálculo</t>
  </si>
  <si>
    <t>Subgrupo</t>
  </si>
  <si>
    <t>Data</t>
  </si>
  <si>
    <t>Média</t>
  </si>
  <si>
    <t>Contador</t>
  </si>
  <si>
    <t>Retorno</t>
  </si>
  <si>
    <t>Texto</t>
  </si>
  <si>
    <t>Número</t>
  </si>
  <si>
    <t>Busca</t>
  </si>
  <si>
    <t>Booleano</t>
  </si>
  <si>
    <t>Matemático</t>
  </si>
  <si>
    <t>Volume</t>
  </si>
  <si>
    <t>T1</t>
  </si>
  <si>
    <t>T2</t>
  </si>
  <si>
    <t>Resultado</t>
  </si>
  <si>
    <t>A</t>
  </si>
  <si>
    <t>X</t>
  </si>
  <si>
    <t>B</t>
  </si>
  <si>
    <t>Y</t>
  </si>
  <si>
    <t>C</t>
  </si>
  <si>
    <t>Z</t>
  </si>
  <si>
    <t>TEXTO.EXISTENTE</t>
  </si>
  <si>
    <t>RETORNA (V/F) SE O TEXTO BUSCADO EXISTE EM UMA CÉLULA</t>
  </si>
  <si>
    <t>DISTANCIA.COORDENADA</t>
  </si>
  <si>
    <t>Coordenada</t>
  </si>
  <si>
    <t>RETORNA A DISTÂNCIA EM KM ENTRE DUAS COORDENADAS GEOGRÁFICAS</t>
  </si>
  <si>
    <t>DESCRIÇÃO</t>
  </si>
  <si>
    <t>Dados dois intervalos ou tabelas separadas, seleciona-se os valores e obtem-se o resultado da unificação dos valores em uma matriz vertical</t>
  </si>
  <si>
    <t>MOCKUP PRECIFICAÇÃO</t>
  </si>
  <si>
    <t>IMPOSTO</t>
  </si>
  <si>
    <t>COMISSÃO</t>
  </si>
  <si>
    <t>MC</t>
  </si>
  <si>
    <t>PV</t>
  </si>
  <si>
    <t>%</t>
  </si>
  <si>
    <t>VALOR</t>
  </si>
  <si>
    <t>ITEM 1</t>
  </si>
  <si>
    <t>ITEM 2</t>
  </si>
  <si>
    <t>ITEM 3</t>
  </si>
  <si>
    <t>ITEM 4</t>
  </si>
  <si>
    <t>CPV</t>
  </si>
  <si>
    <t>MÉTODO UTILIZADO:
    Calcular o valor de cada verba dentro dela mesma a partir do custo do item
PROBLEMA:
    O valor da verba varia conforme o percentual das demais verbas, ou seja, a base de cálculo de cada alíquota percentual é o próprio PV.</t>
  </si>
  <si>
    <t>SOMA</t>
  </si>
  <si>
    <t>MODELO 1</t>
  </si>
  <si>
    <t>MODELO 2</t>
  </si>
  <si>
    <t>BC</t>
  </si>
  <si>
    <t>MÉTODO UTILIZADO:
    Calcular o valor de cada verba a partir do preço de venda calculado. Sendo o Preço de Venda o custo embutindo a somatória dos percentuais de IMPOSTO, COMISSÃO E MC
PROBLEMA:
    Forma correta de precificar, porém complicado quando há variação de base de cálculo para cálculo</t>
  </si>
  <si>
    <t>BC = PV - CPV</t>
  </si>
  <si>
    <t>BC = PV</t>
  </si>
  <si>
    <t>% Base</t>
  </si>
  <si>
    <t>% Calc</t>
  </si>
  <si>
    <t>MÉTODO UTILIZADO:
    Calcular o PREÇO DE VENDA com base na COMISSÃO e MC já adicionados do percentual a ser descontado futuramente em imposto, já que o "Lucro" será igual a MC + Comissão.
PROBLEMA:
    Fórmula e cálculo ficam chatos. Quanto mais atributos, pior fica</t>
  </si>
  <si>
    <t>CPV + Soma</t>
  </si>
  <si>
    <t>MODELO 3</t>
  </si>
  <si>
    <t>FÓRMULA</t>
  </si>
  <si>
    <t>PV2</t>
  </si>
  <si>
    <t>Financeiro</t>
  </si>
  <si>
    <t>RETORNA O PREÇO FINAL DE VENDA LEVANDO EM CONSIDERAÇÃO ADIÇÃO DE PERCENTUAIS A SEREM DEDUZIDOS DO PREÇO FINAL DE VENDA COM DIFERENTES ALÍQUOTAS DEPENDENTES DO PREÇO DE VENDA</t>
  </si>
  <si>
    <t>TAXA.ANO.MES</t>
  </si>
  <si>
    <t>TAXA.MES.ANO</t>
  </si>
  <si>
    <t>FAZ O CÁLCULO DA TAXA COMPOSTA DE ANO PRA MÊS</t>
  </si>
  <si>
    <t>FAZ O CÁLCULO DA TAXA COMPOSTA DE MÊS PRA ANO</t>
  </si>
  <si>
    <t>SALDO DEVEDOR</t>
  </si>
  <si>
    <t>TOTAL PARCELAS</t>
  </si>
  <si>
    <t>PARCELA PROCURADA</t>
  </si>
  <si>
    <t>AMORTIZAÇÃO</t>
  </si>
  <si>
    <t>JUROS</t>
  </si>
  <si>
    <t>PARCELA</t>
  </si>
  <si>
    <t>CALC.PV.HIBRIDO</t>
  </si>
  <si>
    <t>SAC.PARCELA.BUSCAR</t>
  </si>
  <si>
    <t>SAC.PARCELA.PRIMEIRA</t>
  </si>
  <si>
    <t>SAC.PARCELA.ULTIMA</t>
  </si>
  <si>
    <t>SAC.PARCELA.TOTAL</t>
  </si>
  <si>
    <t>SAC.JUROS.TOTAL</t>
  </si>
  <si>
    <t>SAC.JUROS.PRIMEIRA</t>
  </si>
  <si>
    <t>SAC.JUROS.BUSCAR</t>
  </si>
  <si>
    <t>SAC.JUROS.ULTIMA</t>
  </si>
  <si>
    <t>SAC.SALDO.BUSCAR</t>
  </si>
  <si>
    <t>SAC.TABELA.SALDO</t>
  </si>
  <si>
    <t>SAC.TABELA.AMORTIZACAO</t>
  </si>
  <si>
    <t>SAC.TABELA.JUROS</t>
  </si>
  <si>
    <t>SAC.TABELA.PARCELAS</t>
  </si>
  <si>
    <t>SAC.TABELA.PERIODOS</t>
  </si>
  <si>
    <t>SAC.TABELA.COMPLETA</t>
  </si>
  <si>
    <t>TAXA POR PERÍODO</t>
  </si>
  <si>
    <t>MODELO TRADICIONAL</t>
  </si>
  <si>
    <t>PERÍODOS</t>
  </si>
  <si>
    <t>MODELO FÓRMULAS SEPARADAS</t>
  </si>
  <si>
    <t>SAC.AMORTIZACAO.PRIMEIRA</t>
  </si>
  <si>
    <t>SAC.AMORTIZACAO.BUSCAR</t>
  </si>
  <si>
    <t>SAC.AMORTIZACAO.ULTIMA</t>
  </si>
  <si>
    <t>TOTAIS</t>
  </si>
  <si>
    <t>MODELO TABELA ÚNICA</t>
  </si>
  <si>
    <t>NÃO APLICA</t>
  </si>
  <si>
    <t>INDICE.BUSCA</t>
  </si>
  <si>
    <t>RETORNA A POSIÇÃO ONDE O DADO BUSCADO SE ENCONTRA NA MATRIZ</t>
  </si>
  <si>
    <t>Matriz</t>
  </si>
  <si>
    <t>RETORNA X1 e X2 DE UMA EQUAÇÃO DE SEGUNDO GRAU</t>
  </si>
  <si>
    <t>Equação</t>
  </si>
  <si>
    <t>CALC.BHASKARA</t>
  </si>
  <si>
    <t>CALC.BHASKARA.X1</t>
  </si>
  <si>
    <t>CALC.BHASKARA.X2</t>
  </si>
  <si>
    <t>RETORNA X1 DE UMA EQUAÇÃO DE SEGUNDO GRAU</t>
  </si>
  <si>
    <t>RETORNA X2 DE UMA EQUAÇÃO DE SEGUNDO GRAU</t>
  </si>
  <si>
    <t>https://www.pravaler.com.br/blog/dicas-de-estudo/formula-de-bhaskara-o-que-e-e-como-usar/</t>
  </si>
  <si>
    <t>CALC.BHASKARA.GRAFICO</t>
  </si>
  <si>
    <t>CALC.BHASKARA.PONTO DO GRAFICO</t>
  </si>
  <si>
    <t>CALC.BHASKARA.TIPO GRAFICO /\ OU \/ OU ---</t>
  </si>
  <si>
    <t>VALOR FINAN</t>
  </si>
  <si>
    <t>TAXA</t>
  </si>
  <si>
    <t>PRAZO</t>
  </si>
  <si>
    <t>PRICE</t>
  </si>
  <si>
    <t>PRICE.PARCELA.PRIMEIRA</t>
  </si>
  <si>
    <t>SALDO</t>
  </si>
  <si>
    <t>AMORT</t>
  </si>
  <si>
    <t>PRICE.PARCELA.ULTIMA</t>
  </si>
  <si>
    <t>PRICE.PARCELA.TOTAL</t>
  </si>
  <si>
    <t>PRICE.JUROS.TOTAL</t>
  </si>
  <si>
    <t>PRICE.JUROS.PRIMEIRA</t>
  </si>
  <si>
    <t>PRICE.JUROS.BUSCAR</t>
  </si>
  <si>
    <t>PRICE.JUROS.ULTIMA</t>
  </si>
  <si>
    <t>PRICE.AMORTIZACAO.PRIMEIRA</t>
  </si>
  <si>
    <t>PRICE.AMORTIZACAO.BUSCAR</t>
  </si>
  <si>
    <t>PRICE.AMORTIZACAO.ULTIMA</t>
  </si>
  <si>
    <t>PRICE.SALDO.BUSCAR</t>
  </si>
  <si>
    <t>PRICE.TABELA.SALDO</t>
  </si>
  <si>
    <t>PRICE.TABELA.AMORTIZACAO</t>
  </si>
  <si>
    <t>PRICE.TABELA.JUROS</t>
  </si>
  <si>
    <t>PRICE.TABELA.PARCELAS</t>
  </si>
  <si>
    <t>PRICE.TABELA.PERIODOS</t>
  </si>
  <si>
    <t>PRICE.TABELA.COMPLETA</t>
  </si>
  <si>
    <t>* Para facilitar somatórias, ignora-se o período ZERO</t>
  </si>
  <si>
    <t>UNIFICACAO.N.N</t>
  </si>
  <si>
    <t>Matricial</t>
  </si>
  <si>
    <t>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</si>
</sst>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0.000%"/>
    <numFmt numFmtId="167" formatCode="_-* #,##0.00000000000000_-;\-* #,##0.000000000000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3499862666707357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2">
    <xf numFmtId="0" fontId="0" fillId="0" borderId="0" xfId="0"/>
    <xf numFmtId="0" fontId="0" fillId="3" borderId="0" xfId="0" applyFill="1"/>
    <xf numFmtId="0" fontId="4" fillId="3" borderId="0" xfId="0" applyFont="1" applyFill="1" applyAlignment="1">
      <alignment horizontal="center" vertical="center"/>
    </xf>
    <xf numFmtId="0" fontId="0" fillId="3" borderId="1" xfId="0" applyFill="1" applyBorder="1" applyAlignment="1">
      <alignment horizontal="centerContinuous"/>
    </xf>
    <xf numFmtId="0" fontId="0" fillId="3" borderId="2" xfId="0" applyFill="1" applyBorder="1" applyAlignment="1">
      <alignment horizontal="centerContinuous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43" fontId="0" fillId="3" borderId="0" xfId="1" applyFont="1" applyFill="1"/>
    <xf numFmtId="9" fontId="0" fillId="3" borderId="4" xfId="2" applyFont="1" applyFill="1" applyBorder="1"/>
    <xf numFmtId="43" fontId="0" fillId="4" borderId="5" xfId="1" applyFont="1" applyFill="1" applyBorder="1"/>
    <xf numFmtId="43" fontId="0" fillId="4" borderId="6" xfId="1" applyFont="1" applyFill="1" applyBorder="1"/>
    <xf numFmtId="43" fontId="0" fillId="4" borderId="7" xfId="1" applyFont="1" applyFill="1" applyBorder="1"/>
    <xf numFmtId="43" fontId="0" fillId="3" borderId="0" xfId="1" applyFont="1" applyFill="1" applyBorder="1"/>
    <xf numFmtId="43" fontId="0" fillId="3" borderId="5" xfId="1" applyFont="1" applyFill="1" applyBorder="1"/>
    <xf numFmtId="9" fontId="0" fillId="3" borderId="8" xfId="2" applyFont="1" applyFill="1" applyBorder="1"/>
    <xf numFmtId="43" fontId="0" fillId="3" borderId="6" xfId="1" applyFont="1" applyFill="1" applyBorder="1"/>
    <xf numFmtId="0" fontId="0" fillId="3" borderId="9" xfId="0" applyFill="1" applyBorder="1"/>
    <xf numFmtId="43" fontId="0" fillId="3" borderId="9" xfId="1" applyFont="1" applyFill="1" applyBorder="1"/>
    <xf numFmtId="9" fontId="0" fillId="3" borderId="10" xfId="2" applyFont="1" applyFill="1" applyBorder="1"/>
    <xf numFmtId="43" fontId="0" fillId="3" borderId="7" xfId="1" applyFont="1" applyFill="1" applyBorder="1"/>
    <xf numFmtId="9" fontId="0" fillId="3" borderId="11" xfId="2" applyFont="1" applyFill="1" applyBorder="1"/>
    <xf numFmtId="43" fontId="0" fillId="3" borderId="12" xfId="1" applyFont="1" applyFill="1" applyBorder="1"/>
    <xf numFmtId="9" fontId="0" fillId="3" borderId="0" xfId="0" applyNumberFormat="1" applyFill="1"/>
    <xf numFmtId="9" fontId="0" fillId="3" borderId="9" xfId="0" applyNumberFormat="1" applyFill="1" applyBorder="1"/>
    <xf numFmtId="0" fontId="3" fillId="3" borderId="0" xfId="0" applyFont="1" applyFill="1"/>
    <xf numFmtId="43" fontId="3" fillId="3" borderId="0" xfId="1" applyFont="1" applyFill="1"/>
    <xf numFmtId="43" fontId="0" fillId="3" borderId="0" xfId="0" applyNumberFormat="1" applyFill="1"/>
    <xf numFmtId="0" fontId="0" fillId="3" borderId="13" xfId="0" applyFill="1" applyBorder="1" applyAlignment="1">
      <alignment horizontal="centerContinuous"/>
    </xf>
    <xf numFmtId="43" fontId="0" fillId="3" borderId="4" xfId="1" applyFont="1" applyFill="1" applyBorder="1"/>
    <xf numFmtId="43" fontId="0" fillId="3" borderId="8" xfId="1" applyFont="1" applyFill="1" applyBorder="1"/>
    <xf numFmtId="43" fontId="0" fillId="3" borderId="10" xfId="1" applyFont="1" applyFill="1" applyBorder="1"/>
    <xf numFmtId="43" fontId="0" fillId="4" borderId="4" xfId="1" applyFont="1" applyFill="1" applyBorder="1"/>
    <xf numFmtId="43" fontId="0" fillId="4" borderId="8" xfId="1" applyFont="1" applyFill="1" applyBorder="1"/>
    <xf numFmtId="43" fontId="0" fillId="4" borderId="10" xfId="1" applyFont="1" applyFill="1" applyBorder="1"/>
    <xf numFmtId="0" fontId="0" fillId="3" borderId="0" xfId="0" quotePrefix="1" applyFill="1"/>
    <xf numFmtId="0" fontId="0" fillId="3" borderId="14" xfId="0" applyFill="1" applyBorder="1"/>
    <xf numFmtId="44" fontId="0" fillId="0" borderId="0" xfId="3" applyFont="1"/>
    <xf numFmtId="164" fontId="0" fillId="0" borderId="0" xfId="0" applyNumberFormat="1"/>
    <xf numFmtId="43" fontId="0" fillId="0" borderId="0" xfId="1" applyFont="1"/>
    <xf numFmtId="165" fontId="0" fillId="0" borderId="0" xfId="1" applyNumberFormat="1" applyFont="1"/>
    <xf numFmtId="0" fontId="4" fillId="0" borderId="14" xfId="0" applyFont="1" applyBorder="1" applyAlignment="1">
      <alignment horizontal="centerContinuous" vertical="center"/>
    </xf>
    <xf numFmtId="0" fontId="0" fillId="0" borderId="14" xfId="0" applyBorder="1" applyAlignment="1">
      <alignment horizontal="centerContinuous"/>
    </xf>
    <xf numFmtId="43" fontId="0" fillId="0" borderId="14" xfId="1" applyFont="1" applyBorder="1" applyAlignment="1">
      <alignment horizontal="centerContinuous"/>
    </xf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165" fontId="0" fillId="0" borderId="0" xfId="0" applyNumberFormat="1"/>
    <xf numFmtId="0" fontId="7" fillId="3" borderId="0" xfId="5" applyFill="1"/>
    <xf numFmtId="165" fontId="8" fillId="5" borderId="0" xfId="6" applyNumberFormat="1" applyFont="1" applyFill="1"/>
    <xf numFmtId="43" fontId="8" fillId="5" borderId="0" xfId="6" applyFont="1" applyFill="1"/>
    <xf numFmtId="0" fontId="8" fillId="5" borderId="0" xfId="0" applyFont="1" applyFill="1"/>
    <xf numFmtId="0" fontId="8" fillId="5" borderId="0" xfId="6" applyNumberFormat="1" applyFont="1" applyFill="1"/>
    <xf numFmtId="166" fontId="8" fillId="5" borderId="0" xfId="7" applyNumberFormat="1" applyFont="1" applyFill="1"/>
    <xf numFmtId="10" fontId="8" fillId="5" borderId="0" xfId="7" applyNumberFormat="1" applyFont="1" applyFill="1"/>
    <xf numFmtId="8" fontId="8" fillId="5" borderId="0" xfId="0" applyNumberFormat="1" applyFont="1" applyFill="1"/>
    <xf numFmtId="43" fontId="8" fillId="5" borderId="0" xfId="0" applyNumberFormat="1" applyFont="1" applyFill="1"/>
    <xf numFmtId="43" fontId="9" fillId="5" borderId="0" xfId="6" applyFont="1" applyFill="1"/>
    <xf numFmtId="165" fontId="9" fillId="5" borderId="0" xfId="6" applyNumberFormat="1" applyFont="1" applyFill="1"/>
    <xf numFmtId="9" fontId="8" fillId="5" borderId="0" xfId="6" applyNumberFormat="1" applyFont="1" applyFill="1"/>
    <xf numFmtId="165" fontId="8" fillId="5" borderId="0" xfId="1" applyNumberFormat="1" applyFont="1" applyFill="1"/>
    <xf numFmtId="43" fontId="8" fillId="5" borderId="0" xfId="1" applyFont="1" applyFill="1"/>
    <xf numFmtId="8" fontId="8" fillId="5" borderId="0" xfId="1" applyNumberFormat="1" applyFont="1" applyFill="1"/>
    <xf numFmtId="0" fontId="0" fillId="3" borderId="0" xfId="0" applyFill="1" applyAlignment="1">
      <alignment vertical="center"/>
    </xf>
    <xf numFmtId="0" fontId="0" fillId="3" borderId="0" xfId="0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43" fontId="8" fillId="5" borderId="0" xfId="1" applyFont="1" applyFill="1" applyAlignment="1">
      <alignment horizontal="right"/>
    </xf>
    <xf numFmtId="167" fontId="8" fillId="5" borderId="0" xfId="1" applyNumberFormat="1" applyFont="1" applyFill="1"/>
    <xf numFmtId="0" fontId="5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/>
    </xf>
    <xf numFmtId="0" fontId="6" fillId="3" borderId="0" xfId="0" applyFont="1" applyFill="1" applyAlignment="1">
      <alignment horizontal="center" vertical="top" wrapText="1"/>
    </xf>
    <xf numFmtId="0" fontId="4" fillId="3" borderId="0" xfId="0" applyFont="1" applyFill="1" applyAlignment="1">
      <alignment horizontal="center" vertical="center"/>
    </xf>
  </cellXfs>
  <cellStyles count="8">
    <cellStyle name="Hiperlink" xfId="5" builtinId="8"/>
    <cellStyle name="Moeda" xfId="3" builtinId="4"/>
    <cellStyle name="Normal" xfId="0" builtinId="0"/>
    <cellStyle name="Porcentagem" xfId="2" builtinId="5"/>
    <cellStyle name="Porcentagem 2" xfId="7" xr:uid="{79E49AEB-4F3A-4425-BF52-CA8C80BD9795}"/>
    <cellStyle name="Vírgula" xfId="1" builtinId="3"/>
    <cellStyle name="Vírgula 2" xfId="4" xr:uid="{16AD3B96-F71A-428C-889E-903D132FB415}"/>
    <cellStyle name="Vírgula 3" xfId="6" xr:uid="{63707986-BB6B-401A-86FC-F3B5D21CD34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103620</xdr:colOff>
      <xdr:row>68</xdr:row>
      <xdr:rowOff>84955</xdr:rowOff>
    </xdr:from>
    <xdr:ext cx="2996911" cy="67704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999CC98E-4EEA-42EE-A624-96D59C1DDF82}"/>
                </a:ext>
              </a:extLst>
            </xdr:cNvPr>
            <xdr:cNvSpPr txBox="1"/>
          </xdr:nvSpPr>
          <xdr:spPr>
            <a:xfrm>
              <a:off x="1932420" y="4275955"/>
              <a:ext cx="2996911" cy="67704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BR" sz="1100" b="0" i="1">
                        <a:latin typeface="Cambria Math" panose="02040503050406030204" pitchFamily="18" charset="0"/>
                      </a:rPr>
                      <m:t>𝑃𝑉</m:t>
                    </m:r>
                    <m:r>
                      <a:rPr lang="pt-B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𝐶𝑃𝑉</m:t>
                        </m:r>
                      </m:num>
                      <m:den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d>
                          <m:dPr>
                            <m:ctrlPr>
                              <a:rPr lang="pt-BR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𝐶𝑂𝑀𝐼𝑆𝑆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Ã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𝑂</m:t>
                                </m:r>
                              </m:num>
                              <m:den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1−</m:t>
                                </m:r>
                                <m:r>
                                  <a:rPr lang="pt-BR" sz="1100" b="0" i="1">
                                    <a:latin typeface="Cambria Math" panose="02040503050406030204" pitchFamily="18" charset="0"/>
                                  </a:rPr>
                                  <m:t>𝐼𝑀𝑃𝑂𝑆𝑇𝑂</m:t>
                                </m:r>
                              </m:den>
                            </m:f>
                          </m:e>
                        </m:d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d>
                          <m:dPr>
                            <m:ctrlPr>
                              <a:rPr lang="pt-BR" sz="1100" b="0" i="1">
                                <a:solidFill>
                                  <a:schemeClr val="tx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fPr>
                              <m:num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𝑀𝐶</m:t>
                                </m:r>
                              </m:num>
                              <m:den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r>
                                  <a:rPr lang="pt-BR" sz="1100" b="0" i="1">
                                    <a:solidFill>
                                      <a:schemeClr val="tx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𝐼𝑀𝑃𝑂𝑆𝑇𝑂</m:t>
                                </m:r>
                              </m:den>
                            </m:f>
                          </m:e>
                        </m:d>
                      </m:den>
                    </m:f>
                  </m:oMath>
                </m:oMathPara>
              </a14:m>
              <a:endParaRPr lang="pt-BR" sz="1100" b="0"/>
            </a:p>
            <a:p>
              <a:endParaRPr lang="pt-BR" sz="1100"/>
            </a:p>
          </xdr:txBody>
        </xdr:sp>
      </mc:Choice>
      <mc:Fallback xmlns="">
        <xdr:sp macro="" textlink="">
          <xdr:nvSpPr>
            <xdr:cNvPr id="2" name="CaixaDeTexto 1">
              <a:extLst>
                <a:ext uri="{FF2B5EF4-FFF2-40B4-BE49-F238E27FC236}">
                  <a16:creationId xmlns:a16="http://schemas.microsoft.com/office/drawing/2014/main" id="{999CC98E-4EEA-42EE-A624-96D59C1DDF82}"/>
                </a:ext>
              </a:extLst>
            </xdr:cNvPr>
            <xdr:cNvSpPr txBox="1"/>
          </xdr:nvSpPr>
          <xdr:spPr>
            <a:xfrm>
              <a:off x="1932420" y="4275955"/>
              <a:ext cx="2996911" cy="67704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𝑃𝑉=𝐶𝑃𝑉/(1−(𝐶𝑂𝑀𝐼𝑆𝑆Ã𝑂/(1−𝐼𝑀𝑃𝑂𝑆𝑇𝑂))−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(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𝑀𝐶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/(1−𝐼𝑀𝑃𝑂𝑆𝑇𝑂))</a:t>
              </a:r>
              <a:r>
                <a:rPr lang="pt-BR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)</a:t>
              </a:r>
              <a:endParaRPr lang="pt-BR" sz="1100" b="0"/>
            </a:p>
            <a:p>
              <a:endParaRPr lang="pt-BR" sz="1100"/>
            </a:p>
          </xdr:txBody>
        </xdr:sp>
      </mc:Fallback>
    </mc:AlternateContent>
    <xdr:clientData/>
  </xdr:oneCellAnchor>
  <xdr:oneCellAnchor>
    <xdr:from>
      <xdr:col>9</xdr:col>
      <xdr:colOff>239269</xdr:colOff>
      <xdr:row>68</xdr:row>
      <xdr:rowOff>84955</xdr:rowOff>
    </xdr:from>
    <xdr:ext cx="2582182" cy="5009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2CFB790D-5723-4AC2-9A22-6DF5C4A589B2}"/>
                </a:ext>
              </a:extLst>
            </xdr:cNvPr>
            <xdr:cNvSpPr txBox="1"/>
          </xdr:nvSpPr>
          <xdr:spPr>
            <a:xfrm>
              <a:off x="5935219" y="13248505"/>
              <a:ext cx="2582182" cy="500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pt-BR" sz="1100" b="0" i="1">
                        <a:latin typeface="Cambria Math" panose="02040503050406030204" pitchFamily="18" charset="0"/>
                      </a:rPr>
                      <m:t>𝑃𝑉</m:t>
                    </m:r>
                    <m:r>
                      <a:rPr lang="pt-B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pt-B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𝐶𝑃𝑉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 ∗(1−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𝐼𝑀𝑃𝑂𝑆𝑇𝑂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)</m:t>
                        </m:r>
                      </m:num>
                      <m:den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𝐶𝑂𝑀𝐼𝑆𝑆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Ã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𝑂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𝑀𝐶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r>
                          <a:rPr lang="pt-BR" sz="1100" b="0" i="1">
                            <a:latin typeface="Cambria Math" panose="02040503050406030204" pitchFamily="18" charset="0"/>
                          </a:rPr>
                          <m:t>𝐼𝑀𝑃𝑂𝑆𝑇𝑂</m:t>
                        </m:r>
                      </m:den>
                    </m:f>
                  </m:oMath>
                </m:oMathPara>
              </a14:m>
              <a:endParaRPr lang="pt-BR" sz="1100" b="0"/>
            </a:p>
            <a:p>
              <a:endParaRPr lang="pt-BR" sz="1100"/>
            </a:p>
          </xdr:txBody>
        </xdr:sp>
      </mc:Choice>
      <mc:Fallback xmlns="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2CFB790D-5723-4AC2-9A22-6DF5C4A589B2}"/>
                </a:ext>
              </a:extLst>
            </xdr:cNvPr>
            <xdr:cNvSpPr txBox="1"/>
          </xdr:nvSpPr>
          <xdr:spPr>
            <a:xfrm>
              <a:off x="5935219" y="13248505"/>
              <a:ext cx="2582182" cy="5009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pt-BR" sz="1100" b="0" i="0">
                  <a:latin typeface="Cambria Math" panose="02040503050406030204" pitchFamily="18" charset="0"/>
                </a:rPr>
                <a:t>𝑃𝑉=(𝐶𝑃𝑉 ∗(1−𝐼𝑀𝑃𝑂𝑆𝑇𝑂))/(1−𝐶𝑂𝑀𝐼𝑆𝑆Ã𝑂 −𝑀𝐶 −𝐼𝑀𝑃𝑂𝑆𝑇𝑂)</a:t>
              </a:r>
              <a:endParaRPr lang="pt-BR" sz="1100" b="0"/>
            </a:p>
            <a:p>
              <a:endParaRPr lang="pt-BR" sz="1100"/>
            </a:p>
          </xdr:txBody>
        </xdr:sp>
      </mc:Fallback>
    </mc:AlternateContent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24C062-729E-4DE0-B43B-AED3444DBA28}" name="Tabela1" displayName="Tabela1" ref="E5:E8" totalsRowShown="0">
  <autoFilter ref="E5:E8" xr:uid="{B224C062-729E-4DE0-B43B-AED3444DBA28}"/>
  <tableColumns count="1">
    <tableColumn id="1" xr3:uid="{D855B27A-75A1-4D09-BD03-A6B3BC5B2EE5}" name="T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EBA42C-ED26-4768-B0E2-9CC669E7C16D}" name="Tabela2" displayName="Tabela2" ref="G5:G8" totalsRowShown="0">
  <autoFilter ref="G5:G8" xr:uid="{40EBA42C-ED26-4768-B0E2-9CC669E7C16D}"/>
  <tableColumns count="1">
    <tableColumn id="1" xr3:uid="{3ED7654B-3A91-47AC-BD82-BC777DC28EBD}" name="T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ravaler.com.br/blog/dicas-de-estudo/formula-de-bhaskara-o-que-e-e-como-usar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B1D7C-FB5D-48AD-BE29-0BDD0503CD7A}">
  <dimension ref="A1:J59"/>
  <sheetViews>
    <sheetView showGridLines="0" tabSelected="1" zoomScaleNormal="100" workbookViewId="0">
      <selection activeCell="C4" sqref="C4"/>
    </sheetView>
  </sheetViews>
  <sheetFormatPr defaultColWidth="0" defaultRowHeight="15" zeroHeight="1" x14ac:dyDescent="0.25"/>
  <cols>
    <col min="1" max="2" width="9.140625" customWidth="1"/>
    <col min="3" max="3" width="48.85546875" style="65" bestFit="1" customWidth="1"/>
    <col min="4" max="4" width="8.28515625" style="65" bestFit="1" customWidth="1"/>
    <col min="5" max="5" width="72.5703125" style="65" bestFit="1" customWidth="1"/>
    <col min="6" max="6" width="11.5703125" style="65" bestFit="1" customWidth="1"/>
    <col min="7" max="7" width="14.85546875" style="65" bestFit="1" customWidth="1"/>
    <col min="8" max="8" width="9.42578125" style="65" bestFit="1" customWidth="1"/>
    <col min="9" max="10" width="9.140625" customWidth="1"/>
    <col min="11" max="16384" width="9.140625" hidden="1"/>
  </cols>
  <sheetData>
    <row r="1" spans="1:10" x14ac:dyDescent="0.25">
      <c r="A1" s="1"/>
      <c r="B1" s="1"/>
      <c r="C1" s="62"/>
      <c r="D1" s="62"/>
      <c r="E1" s="62"/>
      <c r="F1" s="62"/>
      <c r="G1" s="62"/>
      <c r="H1" s="62"/>
      <c r="I1" s="1"/>
      <c r="J1" s="1"/>
    </row>
    <row r="2" spans="1:10" x14ac:dyDescent="0.25">
      <c r="A2" s="1"/>
      <c r="B2" s="1"/>
      <c r="C2" s="62"/>
      <c r="D2" s="62"/>
      <c r="E2" s="62"/>
      <c r="F2" s="62"/>
      <c r="G2" s="62"/>
      <c r="H2" s="62"/>
      <c r="I2" s="1"/>
      <c r="J2" s="1"/>
    </row>
    <row r="3" spans="1:10" x14ac:dyDescent="0.25">
      <c r="A3" s="1"/>
      <c r="B3" s="1"/>
      <c r="C3" s="64" t="s">
        <v>11</v>
      </c>
      <c r="D3" s="64" t="s">
        <v>10</v>
      </c>
      <c r="E3" s="64" t="s">
        <v>12</v>
      </c>
      <c r="F3" s="64" t="s">
        <v>13</v>
      </c>
      <c r="G3" s="64" t="s">
        <v>16</v>
      </c>
      <c r="H3" s="64" t="s">
        <v>20</v>
      </c>
      <c r="I3" s="1"/>
      <c r="J3" s="1"/>
    </row>
    <row r="4" spans="1:10" x14ac:dyDescent="0.25">
      <c r="A4" s="1"/>
      <c r="B4" s="1"/>
      <c r="C4" s="62" t="s">
        <v>0</v>
      </c>
      <c r="D4" s="62" t="e" cm="1" vm="1">
        <f t="array" ref="D4">_xlfn.LAMBDA(_xlpm.Mes_Ref,CHOOSE(IF(_xlpm.Mes_Ref&gt;12,MONTH(_xlpm.Mes_Ref),_xlpm.Mes_Ref),"Jan","Fev","Mar","Abr","Mai","Jun","Jul","Ago","Set","Out","Nov","Dez"))</f>
        <v>#VALUE!</v>
      </c>
      <c r="E4" s="62" t="s">
        <v>7</v>
      </c>
      <c r="F4" s="62" t="s">
        <v>14</v>
      </c>
      <c r="G4" s="62" t="s">
        <v>17</v>
      </c>
      <c r="H4" s="62" t="s">
        <v>21</v>
      </c>
      <c r="I4" s="1"/>
      <c r="J4" s="1"/>
    </row>
    <row r="5" spans="1:10" x14ac:dyDescent="0.25">
      <c r="A5" s="1"/>
      <c r="B5" s="1"/>
      <c r="C5" s="62" t="s">
        <v>1</v>
      </c>
      <c r="D5" s="62" t="e" vm="1">
        <f>_xlfn.LAMBDA(_xlpm.VALOR,_xlpm.PESO,SUMPRODUCT(_xlpm.VALOR,_xlpm.PESO)/SUM(_xlpm.PESO))</f>
        <v>#VALUE!</v>
      </c>
      <c r="E5" s="62" t="s">
        <v>6</v>
      </c>
      <c r="F5" s="62" t="s">
        <v>15</v>
      </c>
      <c r="G5" s="62" t="s">
        <v>18</v>
      </c>
      <c r="H5" s="62" t="s">
        <v>22</v>
      </c>
      <c r="I5" s="1"/>
      <c r="J5" s="1"/>
    </row>
    <row r="6" spans="1:10" x14ac:dyDescent="0.25">
      <c r="A6" s="1"/>
      <c r="B6" s="1"/>
      <c r="C6" s="62" t="s">
        <v>72</v>
      </c>
      <c r="D6" s="62" t="e" cm="1" vm="1">
        <f t="array" ref="D6">_xlfn.LAMBDA(_xlpm.TAXA_ANUAL,((1+_xlpm.TAXA_ANUAL)^(1/12))-1)</f>
        <v>#VALUE!</v>
      </c>
      <c r="E6" s="62" t="s">
        <v>74</v>
      </c>
      <c r="F6" s="62" t="s">
        <v>15</v>
      </c>
      <c r="G6" s="62" t="s">
        <v>70</v>
      </c>
      <c r="H6" s="62" t="s">
        <v>22</v>
      </c>
      <c r="I6" s="1"/>
      <c r="J6" s="1"/>
    </row>
    <row r="7" spans="1:10" x14ac:dyDescent="0.25">
      <c r="A7" s="1"/>
      <c r="B7" s="1"/>
      <c r="C7" s="62" t="s">
        <v>73</v>
      </c>
      <c r="D7" s="62" t="e" cm="1" vm="1">
        <f t="array" ref="D7">_xlfn.LAMBDA(_xlpm.TAXA_MENSAL,((1+_xlpm.TAXA_MENSAL)^(12))-1)</f>
        <v>#VALUE!</v>
      </c>
      <c r="E7" s="62" t="s">
        <v>75</v>
      </c>
      <c r="F7" s="62" t="s">
        <v>15</v>
      </c>
      <c r="G7" s="62" t="s">
        <v>70</v>
      </c>
      <c r="H7" s="62" t="s">
        <v>22</v>
      </c>
      <c r="I7" s="1"/>
      <c r="J7" s="1"/>
    </row>
    <row r="8" spans="1:10" x14ac:dyDescent="0.25">
      <c r="A8" s="1"/>
      <c r="B8" s="1"/>
      <c r="C8" s="62" t="s">
        <v>2</v>
      </c>
      <c r="D8" s="62" t="e" cm="1" vm="1">
        <f t="array" ref="D8">_xlfn.LAMBDA(_xlpm.CELULA,_xlpm.CARACTERE,LEN(_xlpm.CELULA)-LEN(SUBSTITUTE(_xlpm.CELULA,_xlpm.CARACTERE,"")))</f>
        <v>#VALUE!</v>
      </c>
      <c r="E8" s="62" t="s">
        <v>5</v>
      </c>
      <c r="F8" s="62" t="s">
        <v>19</v>
      </c>
      <c r="G8" s="62" t="s">
        <v>21</v>
      </c>
      <c r="H8" s="62" t="s">
        <v>22</v>
      </c>
      <c r="I8" s="1"/>
      <c r="J8" s="1"/>
    </row>
    <row r="9" spans="1:10" x14ac:dyDescent="0.25">
      <c r="A9" s="1"/>
      <c r="B9" s="1"/>
      <c r="C9" s="62" t="s">
        <v>3</v>
      </c>
      <c r="D9" s="62" t="e" cm="1" vm="1">
        <f t="array" ref="D9">_xlfn.LAMBDA(_xlpm.VALOR_BUSCADO,_xlpm.INTERVALO,NOT(ISERROR(_xlfn.XLOOKUP(_xlpm.VALOR_BUSCADO,_xlpm.INTERVALO,_xlpm.INTERVALO))))</f>
        <v>#VALUE!</v>
      </c>
      <c r="E9" s="62" t="s">
        <v>4</v>
      </c>
      <c r="F9" s="62" t="s">
        <v>23</v>
      </c>
      <c r="G9" s="62" t="s">
        <v>110</v>
      </c>
      <c r="H9" s="62" t="s">
        <v>24</v>
      </c>
      <c r="I9" s="1"/>
      <c r="J9" s="1"/>
    </row>
    <row r="10" spans="1:10" x14ac:dyDescent="0.25">
      <c r="A10" s="1"/>
      <c r="B10" s="1"/>
      <c r="C10" s="62" t="s">
        <v>8</v>
      </c>
      <c r="D10" s="62" t="e" cm="1" vm="1">
        <f t="array" ref="D10">_xlfn.LAMBDA(_xlpm.RAIO,_xlpm.ALTURA,PI()*_xlpm.RAIO^2*_xlpm.ALTURA)</f>
        <v>#VALUE!</v>
      </c>
      <c r="E10" s="62" t="s">
        <v>9</v>
      </c>
      <c r="F10" s="62" t="s">
        <v>25</v>
      </c>
      <c r="G10" s="62" t="s">
        <v>26</v>
      </c>
      <c r="H10" s="62" t="s">
        <v>22</v>
      </c>
      <c r="I10" s="1"/>
      <c r="J10" s="1"/>
    </row>
    <row r="11" spans="1:10" x14ac:dyDescent="0.25">
      <c r="A11" s="1"/>
      <c r="B11" s="1"/>
      <c r="C11" s="62" t="s">
        <v>36</v>
      </c>
      <c r="D11" s="62" t="e" cm="1" vm="1">
        <f t="array" ref="D11">_xlfn.LAMBDA(_xlpm.TEXTO_BUSCADO,_xlpm.CELULA,NOT(ISERROR(SEARCH(_xlpm.TEXTO_BUSCADO,_xlpm.CELULA))))</f>
        <v>#VALUE!</v>
      </c>
      <c r="E11" s="62" t="s">
        <v>37</v>
      </c>
      <c r="F11" s="62" t="s">
        <v>23</v>
      </c>
      <c r="G11" s="62" t="s">
        <v>21</v>
      </c>
      <c r="H11" s="62" t="s">
        <v>24</v>
      </c>
      <c r="I11" s="1"/>
      <c r="J11" s="1"/>
    </row>
    <row r="12" spans="1:10" x14ac:dyDescent="0.25">
      <c r="A12" s="1"/>
      <c r="B12" s="1"/>
      <c r="C12" s="62" t="s">
        <v>38</v>
      </c>
      <c r="D12" s="62" t="e" cm="1" vm="1">
        <f t="array" ref="D12">_xlfn.LAMBDA(_xlpm.LAT_ORIGEM,_xlpm.LONG_ORIGEM,_xlpm.LAT_DESTINO,_xlpm.LONG_DESTINO,6371*ACOS(COS(PI()*(90-_xlpm.LAT_DESTINO)/180)*COS((90-_xlpm.LAT_ORIGEM)*PI()/180)+SIN((90-_xlpm.LAT_DESTINO)*PI()/180)*SIN((90-_xlpm.LAT_ORIGEM)*PI()/180)*COS((_xlpm.LONG_ORIGEM-_xlpm.LONG_DESTINO)*PI()/180)))</f>
        <v>#VALUE!</v>
      </c>
      <c r="E12" s="62" t="s">
        <v>40</v>
      </c>
      <c r="F12" s="62" t="s">
        <v>15</v>
      </c>
      <c r="G12" s="62" t="s">
        <v>39</v>
      </c>
      <c r="H12" s="62" t="s">
        <v>22</v>
      </c>
      <c r="I12" s="1"/>
      <c r="J12" s="1"/>
    </row>
    <row r="13" spans="1:10" ht="45" x14ac:dyDescent="0.25">
      <c r="A13" s="1"/>
      <c r="B13" s="1"/>
      <c r="C13" s="62" t="s">
        <v>82</v>
      </c>
      <c r="D13" s="62" t="e" cm="1" vm="1">
        <f t="array" ref="D13">_xlfn.LAMBDA(_xlpm.CUSTO,_xlpm.SOMA_PERC_LUCRO,_xlpm.SOMA_PERC_PV,_xlpm.CUSTO*(1-_xlpm.SOMA_PERC_LUCRO)/(1-_xlpm.SOMA_PERC_LUCRO-_xlpm.SOMA_PERC_PV))</f>
        <v>#VALUE!</v>
      </c>
      <c r="E13" s="63" t="s">
        <v>71</v>
      </c>
      <c r="F13" s="62" t="s">
        <v>15</v>
      </c>
      <c r="G13" s="62" t="s">
        <v>70</v>
      </c>
      <c r="H13" s="62" t="s">
        <v>22</v>
      </c>
      <c r="I13" s="1"/>
      <c r="J13" s="1"/>
    </row>
    <row r="14" spans="1:10" x14ac:dyDescent="0.25">
      <c r="A14" s="1"/>
      <c r="B14" s="1"/>
      <c r="C14" s="62" t="s">
        <v>83</v>
      </c>
      <c r="D14" s="62" t="e" cm="1" vm="1">
        <f t="array" ref="D14">_xlfn.LAMBDA(_xlpm.SALDO_DEVEDOR,_xlpm.TOTAL_PARCELAS,_xlpm.TAXA_DE_JUROS,_xlpm.PARCELA_PROCURADA, (_xlpm.SALDO_DEVEDOR / _xlpm.TOTAL_PARCELAS) + (_xlpm.SALDO_DEVEDOR * _xlpm.TAXA_DE_JUROS * (1 - (_xlpm.PARCELA_PROCURADA - 1) / _xlpm.TOTAL_PARCELAS)))</f>
        <v>#VALUE!</v>
      </c>
      <c r="E14" s="62"/>
      <c r="F14" s="62" t="s">
        <v>15</v>
      </c>
      <c r="G14" s="62" t="s">
        <v>70</v>
      </c>
      <c r="H14" s="62" t="s">
        <v>22</v>
      </c>
      <c r="I14" s="1"/>
      <c r="J14" s="1"/>
    </row>
    <row r="15" spans="1:10" x14ac:dyDescent="0.25">
      <c r="A15" s="1"/>
      <c r="B15" s="1"/>
      <c r="C15" s="62" t="s">
        <v>84</v>
      </c>
      <c r="D15" s="62" t="e" cm="1" vm="1">
        <f t="array" ref="D15">_xlfn.LAMBDA(_xlpm.SALDO_DEVEDOR,_xlpm.TOTAL_PARCELAS,_xlpm.TAXA_DE_JUROS,(_xlpm.SALDO_DEVEDOR/_xlpm.TOTAL_PARCELAS) + (_xlpm.SALDO_DEVEDOR*_xlpm.TAXA_DE_JUROS))</f>
        <v>#VALUE!</v>
      </c>
      <c r="E15" s="62"/>
      <c r="F15" s="62" t="s">
        <v>15</v>
      </c>
      <c r="G15" s="62" t="s">
        <v>70</v>
      </c>
      <c r="H15" s="62" t="s">
        <v>22</v>
      </c>
      <c r="I15" s="1"/>
      <c r="J15" s="1"/>
    </row>
    <row r="16" spans="1:10" x14ac:dyDescent="0.25">
      <c r="A16" s="1"/>
      <c r="B16" s="1"/>
      <c r="C16" s="62" t="s">
        <v>85</v>
      </c>
      <c r="D16" s="62" t="e" cm="1" vm="1">
        <f t="array" ref="D16">_xlfn.LAMBDA(_xlpm.SALDO_DEVEDOR,_xlpm.TOTAL_PARCELAS,_xlpm.TAXA_DE_JUROS,(_xlpm.SALDO_DEVEDOR/_xlpm.TOTAL_PARCELAS) * (1+_xlpm.TAXA_DE_JUROS))</f>
        <v>#VALUE!</v>
      </c>
      <c r="E16" s="62"/>
      <c r="F16" s="62" t="s">
        <v>15</v>
      </c>
      <c r="G16" s="62" t="s">
        <v>70</v>
      </c>
      <c r="H16" s="62" t="s">
        <v>22</v>
      </c>
      <c r="I16" s="1"/>
      <c r="J16" s="1"/>
    </row>
    <row r="17" spans="1:10" x14ac:dyDescent="0.25">
      <c r="A17" s="1"/>
      <c r="B17" s="1"/>
      <c r="C17" s="62" t="s">
        <v>86</v>
      </c>
      <c r="D17" s="62" t="e" cm="1" vm="1">
        <f t="array" ref="D17">_xlfn.LAMBDA(_xlpm.SALDO_DEVEDOR,_xlpm.TOTAL_PARCELAS,_xlpm.TAXA_DE_JUROS,SUM( (_xlpm.SALDO_DEVEDOR / _xlpm.TOTAL_PARCELAS) + (_xlpm.SALDO_DEVEDOR * _xlpm.TAXA_DE_JUROS * (1 - (_xlfn.SEQUENCE(_xlpm.TOTAL_PARCELAS) - 1) / _xlpm.TOTAL_PARCELAS))))</f>
        <v>#VALUE!</v>
      </c>
      <c r="E17" s="62"/>
      <c r="F17" s="62" t="s">
        <v>15</v>
      </c>
      <c r="G17" s="62" t="s">
        <v>70</v>
      </c>
      <c r="H17" s="62" t="s">
        <v>22</v>
      </c>
      <c r="I17" s="1"/>
      <c r="J17" s="1"/>
    </row>
    <row r="18" spans="1:10" x14ac:dyDescent="0.25">
      <c r="A18" s="1"/>
      <c r="B18" s="1"/>
      <c r="C18" s="62" t="s">
        <v>87</v>
      </c>
      <c r="D18" s="62" t="e" cm="1" vm="1">
        <f t="array" ref="D18">_xlfn.LAMBDA(_xlpm.SALDO_DEVEDOR,_xlpm.TOTAL_PARCELAS,_xlpm.TAXA_DE_JUROS,SUM( (_xlpm.SALDO_DEVEDOR / _xlpm.TOTAL_PARCELAS) + (_xlpm.SALDO_DEVEDOR * _xlpm.TAXA_DE_JUROS * (1 - (_xlfn.SEQUENCE(_xlpm.TOTAL_PARCELAS) - 1) / _xlpm.TOTAL_PARCELAS)))-_xlpm.SALDO_DEVEDOR)</f>
        <v>#VALUE!</v>
      </c>
      <c r="E18" s="62"/>
      <c r="F18" s="62" t="s">
        <v>15</v>
      </c>
      <c r="G18" s="62" t="s">
        <v>70</v>
      </c>
      <c r="H18" s="62" t="s">
        <v>22</v>
      </c>
      <c r="I18" s="1"/>
      <c r="J18" s="1"/>
    </row>
    <row r="19" spans="1:10" x14ac:dyDescent="0.25">
      <c r="A19" s="1"/>
      <c r="B19" s="1"/>
      <c r="C19" s="62" t="s">
        <v>88</v>
      </c>
      <c r="D19" s="62" t="e" cm="1" vm="1">
        <f t="array" ref="D19">_xlfn.LAMBDA(_xlpm.SALDO_DEVEDOR,_xlpm.TOTAL_PARCELAS,_xlpm.TAXA_DE_JUROS,((_xlpm.SALDO_DEVEDOR/_xlpm.TOTAL_PARCELAS) + (_xlpm.SALDO_DEVEDOR*_xlpm.TAXA_DE_JUROS))-(_xlpm.SALDO_DEVEDOR/_xlpm.TOTAL_PARCELAS))</f>
        <v>#VALUE!</v>
      </c>
      <c r="E19" s="62"/>
      <c r="F19" s="62" t="s">
        <v>15</v>
      </c>
      <c r="G19" s="62" t="s">
        <v>70</v>
      </c>
      <c r="H19" s="62" t="s">
        <v>22</v>
      </c>
      <c r="I19" s="1"/>
      <c r="J19" s="1"/>
    </row>
    <row r="20" spans="1:10" x14ac:dyDescent="0.25">
      <c r="A20" s="1"/>
      <c r="B20" s="1"/>
      <c r="C20" s="62" t="s">
        <v>89</v>
      </c>
      <c r="D20" s="62" t="e" cm="1" vm="1">
        <f t="array" ref="D20">_xlfn.LAMBDA(_xlpm.SALDO_DEVEDOR,_xlpm.TOTAL_PARCELAS,_xlpm.TAXA_DE_JUROS,_xlpm.PARCELA_PROCURADA,(_xlpm.SALDO_DEVEDOR-(_xlpm.SALDO_DEVEDOR/_xlpm.TOTAL_PARCELAS)*(_xlpm.PARCELA_PROCURADA-1))*_xlpm.TAXA_DE_JUROS)</f>
        <v>#VALUE!</v>
      </c>
      <c r="E20" s="62"/>
      <c r="F20" s="62" t="s">
        <v>15</v>
      </c>
      <c r="G20" s="62" t="s">
        <v>70</v>
      </c>
      <c r="H20" s="62" t="s">
        <v>22</v>
      </c>
      <c r="I20" s="1"/>
      <c r="J20" s="1"/>
    </row>
    <row r="21" spans="1:10" x14ac:dyDescent="0.25">
      <c r="A21" s="1"/>
      <c r="B21" s="1"/>
      <c r="C21" s="62" t="s">
        <v>90</v>
      </c>
      <c r="D21" s="62" t="e" cm="1" vm="1">
        <f t="array" ref="D21">_xlfn.LAMBDA(_xlpm.SALDO_DEVEDOR,_xlpm.TOTAL_PARCELAS,_xlpm.TAXA_DE_JUROS,(_xlpm.SALDO_DEVEDOR-(_xlpm.SALDO_DEVEDOR/_xlpm.TOTAL_PARCELAS)*(_xlpm.TOTAL_PARCELAS-1))*_xlpm.TAXA_DE_JUROS)</f>
        <v>#VALUE!</v>
      </c>
      <c r="E21" s="62"/>
      <c r="F21" s="62" t="s">
        <v>15</v>
      </c>
      <c r="G21" s="62" t="s">
        <v>70</v>
      </c>
      <c r="H21" s="62" t="s">
        <v>22</v>
      </c>
      <c r="I21" s="1"/>
      <c r="J21" s="1"/>
    </row>
    <row r="22" spans="1:10" x14ac:dyDescent="0.25">
      <c r="A22" s="1"/>
      <c r="B22" s="1"/>
      <c r="C22" s="62" t="s">
        <v>102</v>
      </c>
      <c r="D22" s="62" t="e" cm="1" vm="1">
        <f t="array" ref="D22">_xlfn.LAMBDA(_xlpm.SALDO_DEVEDOR,_xlpm.TOTAL_PARCELAS,_xlpm.SALDO_DEVEDOR/_xlpm.TOTAL_PARCELAS)</f>
        <v>#VALUE!</v>
      </c>
      <c r="E22" s="62"/>
      <c r="F22" s="62" t="s">
        <v>15</v>
      </c>
      <c r="G22" s="62" t="s">
        <v>70</v>
      </c>
      <c r="H22" s="62" t="s">
        <v>22</v>
      </c>
      <c r="I22" s="1"/>
      <c r="J22" s="1"/>
    </row>
    <row r="23" spans="1:10" x14ac:dyDescent="0.25">
      <c r="A23" s="1"/>
      <c r="B23" s="1"/>
      <c r="C23" s="62" t="s">
        <v>103</v>
      </c>
      <c r="D23" s="62" t="e" cm="1" vm="1">
        <f t="array" ref="D23">_xlfn.LAMBDA(_xlpm.SALDO_DEVEDOR,_xlpm.TOTAL_PARCELAS,_xlpm.SALDO_DEVEDOR/_xlpm.TOTAL_PARCELAS)</f>
        <v>#VALUE!</v>
      </c>
      <c r="E23" s="62"/>
      <c r="F23" s="62" t="s">
        <v>15</v>
      </c>
      <c r="G23" s="62" t="s">
        <v>70</v>
      </c>
      <c r="H23" s="62" t="s">
        <v>22</v>
      </c>
      <c r="I23" s="1"/>
      <c r="J23" s="1"/>
    </row>
    <row r="24" spans="1:10" x14ac:dyDescent="0.25">
      <c r="A24" s="1"/>
      <c r="B24" s="1"/>
      <c r="C24" s="62" t="s">
        <v>104</v>
      </c>
      <c r="D24" s="62" t="e" cm="1" vm="1">
        <f t="array" ref="D24">_xlfn.LAMBDA(_xlpm.SALDO_DEVEDOR,_xlpm.TOTAL_PARCELAS,_xlpm.SALDO_DEVEDOR/_xlpm.TOTAL_PARCELAS)</f>
        <v>#VALUE!</v>
      </c>
      <c r="E24" s="62"/>
      <c r="F24" s="62" t="s">
        <v>15</v>
      </c>
      <c r="G24" s="62" t="s">
        <v>70</v>
      </c>
      <c r="H24" s="62" t="s">
        <v>22</v>
      </c>
      <c r="I24" s="1"/>
      <c r="J24" s="1"/>
    </row>
    <row r="25" spans="1:10" x14ac:dyDescent="0.25">
      <c r="A25" s="1"/>
      <c r="B25" s="1"/>
      <c r="C25" s="62" t="s">
        <v>91</v>
      </c>
      <c r="D25" s="62" t="e" cm="1" vm="1">
        <f t="array" ref="D25">_xlfn.LAMBDA(_xlpm.SALDO_DEVEDOR,_xlpm.TOTAL_PARCELAS,_xlpm.PARCELA_PROCURADA, (_xlpm.SALDO_DEVEDOR-(_xlpm.SALDO_DEVEDOR/_xlpm.TOTAL_PARCELAS)*(_xlpm.PARCELA_PROCURADA-1)))</f>
        <v>#VALUE!</v>
      </c>
      <c r="E25" s="62"/>
      <c r="F25" s="62" t="s">
        <v>15</v>
      </c>
      <c r="G25" s="62" t="s">
        <v>70</v>
      </c>
      <c r="H25" s="62" t="s">
        <v>22</v>
      </c>
      <c r="I25" s="1"/>
      <c r="J25" s="1"/>
    </row>
    <row r="26" spans="1:10" x14ac:dyDescent="0.25">
      <c r="A26" s="1"/>
      <c r="B26" s="1"/>
      <c r="C26" s="62" t="s">
        <v>92</v>
      </c>
      <c r="D26" s="62" t="e" cm="1" vm="1">
        <f t="array" ref="D26">_xlfn.LAMBDA(_xlpm.SALDO_DEVEDOR,_xlpm.TOTAL_PARCELAS,_xlfn.SEQUENCE(_xlpm.TOTAL_PARCELAS,,_xlpm.SALDO_DEVEDOR,-_xlpm.SALDO_DEVEDOR/_xlpm.TOTAL_PARCELAS))</f>
        <v>#VALUE!</v>
      </c>
      <c r="E26" s="62"/>
      <c r="F26" s="62" t="s">
        <v>15</v>
      </c>
      <c r="G26" s="62" t="s">
        <v>70</v>
      </c>
      <c r="H26" s="62" t="s">
        <v>22</v>
      </c>
      <c r="I26" s="1"/>
      <c r="J26" s="1"/>
    </row>
    <row r="27" spans="1:10" x14ac:dyDescent="0.25">
      <c r="A27" s="1"/>
      <c r="B27" s="1"/>
      <c r="C27" s="62" t="s">
        <v>93</v>
      </c>
      <c r="D27" s="62" t="e" cm="1" vm="1">
        <f t="array" ref="D27">_xlfn.LAMBDA(_xlpm.SALDO_DEVEDOR,_xlpm.TOTAL_PARCELAS,_xlfn.SEQUENCE(_xlpm.TOTAL_PARCELAS,,_xlpm.SALDO_DEVEDOR/_xlpm.TOTAL_PARCELAS,0))</f>
        <v>#VALUE!</v>
      </c>
      <c r="E27" s="62"/>
      <c r="F27" s="62" t="s">
        <v>15</v>
      </c>
      <c r="G27" s="62" t="s">
        <v>70</v>
      </c>
      <c r="H27" s="62" t="s">
        <v>22</v>
      </c>
      <c r="I27" s="1"/>
      <c r="J27" s="1"/>
    </row>
    <row r="28" spans="1:10" x14ac:dyDescent="0.25">
      <c r="A28" s="1"/>
      <c r="B28" s="1"/>
      <c r="C28" s="62" t="s">
        <v>94</v>
      </c>
      <c r="D28" s="62" t="e" cm="1" vm="1">
        <f t="array" ref="D28">_xlfn.LAMBDA(_xlpm.SALDO_DEVEDOR,_xlpm.TOTAL_PARCELAS,_xlpm.TAXA_DE_JUROS,_xlfn.SEQUENCE(_xlpm.TOTAL_PARCELAS,,_xlpm.SALDO_DEVEDOR,-_xlpm.SALDO_DEVEDOR/_xlpm.TOTAL_PARCELAS)*_xlpm.TAXA_DE_JUROS)</f>
        <v>#VALUE!</v>
      </c>
      <c r="E28" s="62"/>
      <c r="F28" s="62" t="s">
        <v>15</v>
      </c>
      <c r="G28" s="62" t="s">
        <v>70</v>
      </c>
      <c r="H28" s="62" t="s">
        <v>22</v>
      </c>
      <c r="I28" s="1"/>
      <c r="J28" s="1"/>
    </row>
    <row r="29" spans="1:10" x14ac:dyDescent="0.25">
      <c r="A29" s="1"/>
      <c r="B29" s="1"/>
      <c r="C29" s="62" t="s">
        <v>95</v>
      </c>
      <c r="D29" s="62" t="e" cm="1" vm="1">
        <f t="array" ref="D29">_xlfn.LAMBDA(_xlpm.SALDO_DEVEDOR,_xlpm.TOTAL_PARCELAS,_xlpm.TAXA_DE_JUROS,_xlfn.SEQUENCE(_xlpm.TOTAL_PARCELAS,,_xlpm.SALDO_DEVEDOR/_xlpm.TOTAL_PARCELAS,0)+_xlfn.SEQUENCE(_xlpm.TOTAL_PARCELAS,,_xlpm.SALDO_DEVEDOR,-_xlpm.SALDO_DEVEDOR/_xlpm.TOTAL_PARCELAS)*_xlpm.TAXA_DE_JUROS)</f>
        <v>#VALUE!</v>
      </c>
      <c r="E29" s="62"/>
      <c r="F29" s="62" t="s">
        <v>15</v>
      </c>
      <c r="G29" s="62" t="s">
        <v>70</v>
      </c>
      <c r="H29" s="62" t="s">
        <v>22</v>
      </c>
      <c r="I29" s="1"/>
      <c r="J29" s="1"/>
    </row>
    <row r="30" spans="1:10" x14ac:dyDescent="0.25">
      <c r="A30" s="1"/>
      <c r="B30" s="1"/>
      <c r="C30" s="62" t="s">
        <v>96</v>
      </c>
      <c r="D30" s="62" t="e" cm="1" vm="1">
        <f t="array" ref="D30">_xlfn.LAMBDA(_xlpm.TOTAL_PARCELAS,_xlfn.SEQUENCE(_xlpm.TOTAL_PARCELAS))</f>
        <v>#VALUE!</v>
      </c>
      <c r="E30" s="62"/>
      <c r="F30" s="62" t="s">
        <v>15</v>
      </c>
      <c r="G30" s="62" t="s">
        <v>70</v>
      </c>
      <c r="H30" s="62" t="s">
        <v>22</v>
      </c>
      <c r="I30" s="1"/>
      <c r="J30" s="1"/>
    </row>
    <row r="31" spans="1:10" x14ac:dyDescent="0.25">
      <c r="A31" s="1"/>
      <c r="B31" s="1"/>
      <c r="C31" s="62" t="s">
        <v>97</v>
      </c>
      <c r="D31" s="62" t="e" cm="1" vm="1">
        <f t="array" ref="D31">_xlfn.LAMBDA(_xlpm.SALDO_DEVEDOR,_xlpm.TOTAL_PARCELAS,_xlpm.TAXA_DE_JUROS,
_xlfn.HSTACK(
    _xlfn.VSTACK("PERIODO",_xlfn.SEQUENCE(_xlpm.TOTAL_PARCELAS)),
    _xlfn.VSTACK("SALDO DEVEDOR",_xlfn.SEQUENCE(_xlpm.TOTAL_PARCELAS,,_xlpm.SALDO_DEVEDOR,-_xlpm.SALDO_DEVEDOR/_xlpm.TOTAL_PARCELAS)),
    _xlfn.VSTACK("AMORT", _xlfn.SEQUENCE(_xlpm.TOTAL_PARCELAS,,_xlpm.SALDO_DEVEDOR/_xlpm.TOTAL_PARCELAS,0)),
    _xlfn.VSTACK("JUROS",_xlfn.SEQUENCE(_xlpm.TOTAL_PARCELAS,,_xlpm.SALDO_DEVEDOR,-_xlpm.SALDO_DEVEDOR/_xlpm.TOTAL_PARCELAS)*_xlpm.TAXA_DE_JUROS),
    _xlfn.VSTACK("PARCELA",_xlfn.SEQUENCE(_xlpm.TOTAL_PARCELAS,,_xlpm.SALDO_DEVEDOR/_xlpm.TOTAL_PARCELAS,0)+_xlfn.SEQUENCE(_xlpm.TOTAL_PARCELAS,,_xlpm.SALDO_DEVEDOR,-_xlpm.SALDO_DEVEDOR/_xlpm.TOTAL_PARCELAS)*_xlpm.TAXA_DE_JUROS)))</f>
        <v>#VALUE!</v>
      </c>
      <c r="E31" s="62"/>
      <c r="F31" s="62" t="s">
        <v>15</v>
      </c>
      <c r="G31" s="62" t="s">
        <v>70</v>
      </c>
      <c r="H31" s="62" t="s">
        <v>22</v>
      </c>
      <c r="I31" s="1"/>
      <c r="J31" s="1"/>
    </row>
    <row r="32" spans="1:10" x14ac:dyDescent="0.25">
      <c r="A32" s="1"/>
      <c r="B32" s="1"/>
      <c r="C32" s="62" t="s">
        <v>108</v>
      </c>
      <c r="D32" s="62" t="e" cm="1" vm="1">
        <f t="array" aca="1" ref="D32" ca="1">_xlfn.LAMBDA(_xlpm.INTERVALO_CRITERIO,_xlpm.CRITERIO,
    _xlfn._xlws.FILTER(
        IF(_xlpm.INTERVALO_CRITERIO=_xlpm.CRITERIO,ROW(_xlpm.INTERVALO_CRITERIO)-ROW(OFFSET(_xlpm.INTERVALO_CRITERIO,0,0,1))+1,""),
        IF(_xlpm.INTERVALO_CRITERIO=_xlpm.CRITERIO,ROW(_xlpm.INTERVALO_CRITERIO)-ROW(OFFSET(_xlpm.INTERVALO_CRITERIO,0,0,1))+1,"")&lt;&gt;""))</f>
        <v>#VALUE!</v>
      </c>
      <c r="E32" s="62" t="s">
        <v>109</v>
      </c>
      <c r="F32" s="62" t="s">
        <v>23</v>
      </c>
      <c r="G32" s="62" t="s">
        <v>110</v>
      </c>
      <c r="H32" s="62" t="s">
        <v>22</v>
      </c>
      <c r="I32" s="1"/>
      <c r="J32" s="1"/>
    </row>
    <row r="33" spans="1:10" x14ac:dyDescent="0.25">
      <c r="A33" s="1"/>
      <c r="B33" s="47" t="s">
        <v>118</v>
      </c>
      <c r="C33" s="62" t="s">
        <v>113</v>
      </c>
      <c r="D33" s="62" t="e" cm="1" vm="1">
        <f t="array" ref="D33">_xlfn.LAMBDA(_xlpm.A,_xlpm.B,_xlpm.C,_xlfn.VSTACK((-_xlpm.B+SQRT((_xlpm.B^2)-(4*_xlpm.A*_xlpm.C)))/(2*_xlpm.A),(-_xlpm.B-SQRT((_xlpm.B^2)-(4*_xlpm.A*_xlpm.C)))/(2*_xlpm.A)))</f>
        <v>#VALUE!</v>
      </c>
      <c r="E33" s="62" t="s">
        <v>111</v>
      </c>
      <c r="F33" s="62" t="s">
        <v>25</v>
      </c>
      <c r="G33" s="62" t="s">
        <v>112</v>
      </c>
      <c r="H33" s="62" t="s">
        <v>22</v>
      </c>
      <c r="I33" s="1"/>
      <c r="J33" s="1"/>
    </row>
    <row r="34" spans="1:10" x14ac:dyDescent="0.25">
      <c r="A34" s="1"/>
      <c r="B34" s="1"/>
      <c r="C34" s="62" t="s">
        <v>114</v>
      </c>
      <c r="D34" s="62" t="e" cm="1" vm="1">
        <f t="array" ref="D34">_xlfn.LAMBDA(_xlpm.A,_xlpm.B,_xlpm.C,(-_xlpm.B+SQRT((_xlpm.B^2)-(4*_xlpm.A*_xlpm.C)))/(2*_xlpm.A))</f>
        <v>#VALUE!</v>
      </c>
      <c r="E34" s="62" t="s">
        <v>116</v>
      </c>
      <c r="F34" s="62" t="s">
        <v>25</v>
      </c>
      <c r="G34" s="62" t="s">
        <v>112</v>
      </c>
      <c r="H34" s="62" t="s">
        <v>22</v>
      </c>
      <c r="I34" s="1"/>
      <c r="J34" s="1"/>
    </row>
    <row r="35" spans="1:10" x14ac:dyDescent="0.25">
      <c r="A35" s="1"/>
      <c r="B35" s="1"/>
      <c r="C35" s="62" t="s">
        <v>115</v>
      </c>
      <c r="D35" s="62" t="e" cm="1" vm="1">
        <f t="array" ref="D35">_xlfn.LAMBDA(_xlpm.A,_xlpm.B,_xlpm.C,(-_xlpm.B-SQRT((_xlpm.B^2)-(4*_xlpm.A*_xlpm.C)))/(2*_xlpm.A))</f>
        <v>#VALUE!</v>
      </c>
      <c r="E35" s="62" t="s">
        <v>117</v>
      </c>
      <c r="F35" s="62" t="s">
        <v>25</v>
      </c>
      <c r="G35" s="62" t="s">
        <v>112</v>
      </c>
      <c r="H35" s="62" t="s">
        <v>22</v>
      </c>
      <c r="I35" s="1"/>
      <c r="J35" s="1"/>
    </row>
    <row r="36" spans="1:10" x14ac:dyDescent="0.25">
      <c r="A36" s="1"/>
      <c r="B36" s="1"/>
      <c r="C36" s="62" t="s">
        <v>120</v>
      </c>
      <c r="D36" s="62"/>
      <c r="E36" s="62"/>
      <c r="F36" s="62" t="s">
        <v>25</v>
      </c>
      <c r="G36" s="62" t="s">
        <v>112</v>
      </c>
      <c r="H36" s="62" t="s">
        <v>22</v>
      </c>
      <c r="I36" s="1"/>
      <c r="J36" s="1"/>
    </row>
    <row r="37" spans="1:10" x14ac:dyDescent="0.25">
      <c r="A37" s="1"/>
      <c r="B37" s="1"/>
      <c r="C37" s="62" t="s">
        <v>119</v>
      </c>
      <c r="D37" s="62"/>
      <c r="E37" s="62"/>
      <c r="F37" s="62" t="s">
        <v>25</v>
      </c>
      <c r="G37" s="62" t="s">
        <v>112</v>
      </c>
      <c r="H37" s="62" t="s">
        <v>22</v>
      </c>
      <c r="I37" s="1"/>
      <c r="J37" s="1"/>
    </row>
    <row r="38" spans="1:10" x14ac:dyDescent="0.25">
      <c r="A38" s="1"/>
      <c r="B38" s="1"/>
      <c r="C38" s="62" t="s">
        <v>121</v>
      </c>
      <c r="D38" s="62"/>
      <c r="E38" s="62"/>
      <c r="F38" s="62" t="s">
        <v>25</v>
      </c>
      <c r="G38" s="62" t="s">
        <v>112</v>
      </c>
      <c r="H38" s="62" t="s">
        <v>22</v>
      </c>
      <c r="I38" s="1"/>
      <c r="J38" s="1"/>
    </row>
    <row r="39" spans="1:10" x14ac:dyDescent="0.25">
      <c r="A39" s="1"/>
      <c r="B39" s="1"/>
      <c r="C39" s="62" t="s">
        <v>126</v>
      </c>
      <c r="D39" s="62" t="e" cm="1" vm="1">
        <f t="array" ref="D39">_xlfn.LAMBDA(_xlpm.SALDO_DEVEDOR,_xlpm.TOTAL_PARCELAS,_xlpm.TAXA_DE_JUROS,PMT(_xlpm.TAXA_DE_JUROS,_xlpm.TOTAL_PARCELAS,-_xlpm.SALDO_DEVEDOR))</f>
        <v>#VALUE!</v>
      </c>
      <c r="E39" s="62"/>
      <c r="F39" s="62" t="s">
        <v>15</v>
      </c>
      <c r="G39" s="62" t="s">
        <v>70</v>
      </c>
      <c r="H39" s="62" t="s">
        <v>22</v>
      </c>
      <c r="I39" s="1"/>
      <c r="J39" s="1"/>
    </row>
    <row r="40" spans="1:10" x14ac:dyDescent="0.25">
      <c r="A40" s="1"/>
      <c r="B40" s="1"/>
      <c r="C40" s="62" t="s">
        <v>129</v>
      </c>
      <c r="D40" s="62" t="e" cm="1" vm="1">
        <f t="array" ref="D40">_xlfn.LAMBDA(_xlpm.SALDO_DEVEDOR,_xlpm.TOTAL_PARCELAS,_xlpm.TAXA_DE_JUROS,PMT(_xlpm.TAXA_DE_JUROS,_xlpm.TOTAL_PARCELAS,-_xlpm.SALDO_DEVEDOR))</f>
        <v>#VALUE!</v>
      </c>
      <c r="E40" s="62"/>
      <c r="F40" s="62" t="s">
        <v>15</v>
      </c>
      <c r="G40" s="62" t="s">
        <v>70</v>
      </c>
      <c r="H40" s="62" t="s">
        <v>22</v>
      </c>
      <c r="I40" s="1"/>
      <c r="J40" s="1"/>
    </row>
    <row r="41" spans="1:10" x14ac:dyDescent="0.25">
      <c r="A41" s="1"/>
      <c r="B41" s="1"/>
      <c r="C41" s="62" t="s">
        <v>130</v>
      </c>
      <c r="D41" s="62" t="e" cm="1" vm="1">
        <f t="array" ref="D41">_xlfn.LAMBDA(_xlpm.SALDO_DEVEDOR,_xlpm.TOTAL_PARCELAS,_xlpm.TAXA_DE_JUROS,PMT(_xlpm.TAXA_DE_JUROS,_xlpm.TOTAL_PARCELAS,-_xlpm.SALDO_DEVEDOR)*_xlpm.TOTAL_PARCELAS)</f>
        <v>#VALUE!</v>
      </c>
      <c r="E41" s="62"/>
      <c r="F41" s="62" t="s">
        <v>15</v>
      </c>
      <c r="G41" s="62" t="s">
        <v>70</v>
      </c>
      <c r="H41" s="62" t="s">
        <v>22</v>
      </c>
      <c r="I41" s="1"/>
      <c r="J41" s="1"/>
    </row>
    <row r="42" spans="1:10" x14ac:dyDescent="0.25">
      <c r="A42" s="1"/>
      <c r="B42" s="1"/>
      <c r="C42" s="62" t="s">
        <v>131</v>
      </c>
      <c r="D42" s="62" t="e" cm="1" vm="1">
        <f t="array" ref="D42">_xlfn.LAMBDA(_xlpm.SALDO_DEVEDOR,_xlpm.TOTAL_PARCELAS,_xlpm.TAXA_DE_JUROS,_xlpm.SALDO_DEVEDOR-(PMT(_xlpm.TAXA_DE_JUROS,_xlpm.TOTAL_PARCELAS,-_xlpm.SALDO_DEVEDOR)*_xlpm.TOTAL_PARCELAS))</f>
        <v>#VALUE!</v>
      </c>
      <c r="E42" s="62"/>
      <c r="F42" s="62" t="s">
        <v>15</v>
      </c>
      <c r="G42" s="62" t="s">
        <v>70</v>
      </c>
      <c r="H42" s="62" t="s">
        <v>22</v>
      </c>
      <c r="I42" s="1"/>
      <c r="J42" s="1"/>
    </row>
    <row r="43" spans="1:10" x14ac:dyDescent="0.25">
      <c r="A43" s="1"/>
      <c r="B43" s="1"/>
      <c r="C43" s="62" t="s">
        <v>132</v>
      </c>
      <c r="D43" s="62" t="e" cm="1" vm="1">
        <f t="array" ref="D43">_xlfn.LAMBDA(_xlpm.SALDO_DEVEDOR,_xlpm.TOTAL_PARCELAS,_xlpm.TAXA_DE_JUROS,_xlpm.SALDO_DEVEDOR*_xlpm.TAXA_DE_JUROS)</f>
        <v>#VALUE!</v>
      </c>
      <c r="E43" s="62"/>
      <c r="F43" s="62" t="s">
        <v>15</v>
      </c>
      <c r="G43" s="62" t="s">
        <v>70</v>
      </c>
      <c r="H43" s="62" t="s">
        <v>22</v>
      </c>
      <c r="I43" s="1"/>
      <c r="J43" s="1"/>
    </row>
    <row r="44" spans="1:10" x14ac:dyDescent="0.25">
      <c r="A44" s="1"/>
      <c r="B44" s="1"/>
      <c r="C44" s="62" t="s">
        <v>133</v>
      </c>
      <c r="D44" s="62" t="e" cm="1" vm="1">
        <f t="array" ref="D44">_xlfn.LAMBDA(_xlpm.SALDO_DEVEDOR,_xlpm.TOTAL_PARCELAS,_xlpm.PARCELA_PROCURADA,_xlpm.TAXA_DE_JUROS,
    IF(_xlpm.PARCELA_PROCURADA&lt;2,
        _xlpm.SALDO_DEVEDOR,
        _xlpm.SALDO_DEVEDOR-SUM(FV(_xlpm.TAXA_DE_JUROS,_xlfn.SEQUENCE(_xlpm.PARCELA_PROCURADA-1)-1,,-(PMT(_xlpm.TAXA_DE_JUROS,_xlpm.TOTAL_PARCELAS,-_xlpm.SALDO_DEVEDOR)-(_xlpm.SALDO_DEVEDOR*_xlpm.TAXA_DE_JUROS)))))*_xlpm.TAXA_DE_JUROS)</f>
        <v>#VALUE!</v>
      </c>
      <c r="E44" s="62"/>
      <c r="F44" s="62" t="s">
        <v>15</v>
      </c>
      <c r="G44" s="62" t="s">
        <v>70</v>
      </c>
      <c r="H44" s="62" t="s">
        <v>22</v>
      </c>
      <c r="I44" s="1"/>
      <c r="J44" s="1"/>
    </row>
    <row r="45" spans="1:10" x14ac:dyDescent="0.25">
      <c r="A45" s="1"/>
      <c r="B45" s="1"/>
      <c r="C45" s="62" t="s">
        <v>134</v>
      </c>
      <c r="D45" s="62" t="e" cm="1" vm="1">
        <f t="array" ref="D45">_xlfn.LAMBDA(_xlpm.SALDO_DEVEDOR,_xlpm.TOTAL_PARCELAS,_xlpm.TAXA_DE_JUROS,
    (_xlpm.SALDO_DEVEDOR-SUM(FV(_xlpm.TAXA_DE_JUROS,_xlfn.SEQUENCE(_xlpm.TOTAL_PARCELAS-1)-1,,-(PMT(_xlpm.TAXA_DE_JUROS,_xlpm.TOTAL_PARCELAS,-_xlpm.SALDO_DEVEDOR)-(_xlpm.SALDO_DEVEDOR*_xlpm.TAXA_DE_JUROS)))))*_xlpm.TAXA_DE_JUROS)</f>
        <v>#VALUE!</v>
      </c>
      <c r="E45" s="62"/>
      <c r="F45" s="62" t="s">
        <v>15</v>
      </c>
      <c r="G45" s="62" t="s">
        <v>70</v>
      </c>
      <c r="H45" s="62" t="s">
        <v>22</v>
      </c>
      <c r="I45" s="1"/>
      <c r="J45" s="1"/>
    </row>
    <row r="46" spans="1:10" x14ac:dyDescent="0.25">
      <c r="A46" s="1"/>
      <c r="B46" s="1"/>
      <c r="C46" s="62" t="s">
        <v>135</v>
      </c>
      <c r="D46" s="62" t="e" cm="1" vm="1">
        <f t="array" ref="D46">_xlfn.LAMBDA(_xlpm.SALDO_DEVEDOR,_xlpm.TOTAL_PARCELAS,_xlpm.TAXA_DE_JUROS,PMT(_xlpm.TAXA_DE_JUROS,_xlpm.TOTAL_PARCELAS,-_xlpm.SALDO_DEVEDOR)-(_xlpm.SALDO_DEVEDOR*_xlpm.TAXA_DE_JUROS))</f>
        <v>#VALUE!</v>
      </c>
      <c r="E46" s="62"/>
      <c r="F46" s="62" t="s">
        <v>15</v>
      </c>
      <c r="G46" s="62" t="s">
        <v>70</v>
      </c>
      <c r="H46" s="62" t="s">
        <v>22</v>
      </c>
      <c r="I46" s="1"/>
      <c r="J46" s="1"/>
    </row>
    <row r="47" spans="1:10" x14ac:dyDescent="0.25">
      <c r="A47" s="1"/>
      <c r="B47" s="1"/>
      <c r="C47" s="62" t="s">
        <v>136</v>
      </c>
      <c r="D47" s="62" t="e" cm="1" vm="1">
        <f t="array" ref="D47">_xlfn.LAMBDA(_xlpm.SALDO_DEVEDOR,_xlpm.TOTAL_PARCELAS,_xlpm.PARCELA_PROCURADA,_xlpm.TAXA_DE_JUROS,FV(_xlpm.TAXA_DE_JUROS,_xlpm.PARCELA_PROCURADA-1,,-(PMT(_xlpm.TAXA_DE_JUROS,_xlpm.TOTAL_PARCELAS,-_xlpm.SALDO_DEVEDOR)-(_xlpm.SALDO_DEVEDOR*_xlpm.TAXA_DE_JUROS))))</f>
        <v>#VALUE!</v>
      </c>
      <c r="E47" s="62"/>
      <c r="F47" s="62" t="s">
        <v>15</v>
      </c>
      <c r="G47" s="62" t="s">
        <v>70</v>
      </c>
      <c r="H47" s="62" t="s">
        <v>22</v>
      </c>
      <c r="I47" s="1"/>
      <c r="J47" s="1"/>
    </row>
    <row r="48" spans="1:10" x14ac:dyDescent="0.25">
      <c r="A48" s="1"/>
      <c r="B48" s="1"/>
      <c r="C48" s="62" t="s">
        <v>137</v>
      </c>
      <c r="D48" s="62" t="e" cm="1" vm="1">
        <f t="array" ref="D48">_xlfn.LAMBDA(_xlpm.SALDO_DEVEDOR,_xlpm.TOTAL_PARCELAS,_xlpm.TAXA_DE_JUROS,FV(_xlpm.TAXA_DE_JUROS,_xlpm.TOTAL_PARCELAS-1,,-(PMT(_xlpm.TAXA_DE_JUROS,_xlpm.TOTAL_PARCELAS,-_xlpm.SALDO_DEVEDOR)-(_xlpm.SALDO_DEVEDOR*_xlpm.TAXA_DE_JUROS))))</f>
        <v>#VALUE!</v>
      </c>
      <c r="E48" s="62"/>
      <c r="F48" s="62" t="s">
        <v>15</v>
      </c>
      <c r="G48" s="62" t="s">
        <v>70</v>
      </c>
      <c r="H48" s="62" t="s">
        <v>22</v>
      </c>
      <c r="I48" s="1"/>
      <c r="J48" s="1"/>
    </row>
    <row r="49" spans="1:10" x14ac:dyDescent="0.25">
      <c r="A49" s="1"/>
      <c r="B49" s="1"/>
      <c r="C49" s="62" t="s">
        <v>138</v>
      </c>
      <c r="D49" s="62" t="e" cm="1" vm="1">
        <f t="array" ref="D49">_xlfn.LAMBDA(_xlpm.SALDO_DEVEDOR,_xlpm.TOTAL_PARCELAS,_xlpm.PARCELA_PROCURADA,_xlpm.TAXA_DE_JUROS,
    IF(_xlpm.PARCELA_PROCURADA&lt;2,
        _xlpm.SALDO_DEVEDOR,
        _xlpm.SALDO_DEVEDOR-SUM(FV(_xlpm.TAXA_DE_JUROS,_xlfn.SEQUENCE(_xlpm.PARCELA_PROCURADA-1)-1,,-(PMT(_xlpm.TAXA_DE_JUROS,_xlpm.TOTAL_PARCELAS,-_xlpm.SALDO_DEVEDOR)-(_xlpm.SALDO_DEVEDOR*_xlpm.TAXA_DE_JUROS))))))</f>
        <v>#VALUE!</v>
      </c>
      <c r="E49" s="62"/>
      <c r="F49" s="62" t="s">
        <v>15</v>
      </c>
      <c r="G49" s="62" t="s">
        <v>70</v>
      </c>
      <c r="H49" s="62" t="s">
        <v>22</v>
      </c>
      <c r="I49" s="1"/>
      <c r="J49" s="1"/>
    </row>
    <row r="50" spans="1:10" x14ac:dyDescent="0.25">
      <c r="A50" s="1"/>
      <c r="B50" s="1"/>
      <c r="C50" s="62" t="s">
        <v>139</v>
      </c>
      <c r="D50" s="62" t="e" cm="1" vm="1">
        <f t="array" ref="D50">_xlfn.LAMBDA(_xlpm.SALDO_DEVEDOR,_xlpm.TOTAL_PARCELAS,_xlpm.TAXA_DE_JUROS,_xlpm.SALDO_DEVEDOR-FV(_xlpm.TAXA_DE_JUROS,_xlfn.SEQUENCE(_xlpm.TOTAL_PARCELAS)-1,-(PMT(_xlpm.TAXA_DE_JUROS,_xlpm.TOTAL_PARCELAS,-_xlpm.SALDO_DEVEDOR)-(_xlpm.SALDO_DEVEDOR*_xlpm.TAXA_DE_JUROS))))</f>
        <v>#VALUE!</v>
      </c>
      <c r="E50" s="62"/>
      <c r="F50" s="62" t="s">
        <v>15</v>
      </c>
      <c r="G50" s="62" t="s">
        <v>70</v>
      </c>
      <c r="H50" s="62" t="s">
        <v>22</v>
      </c>
      <c r="I50" s="1"/>
      <c r="J50" s="1"/>
    </row>
    <row r="51" spans="1:10" x14ac:dyDescent="0.25">
      <c r="A51" s="1"/>
      <c r="B51" s="1"/>
      <c r="C51" s="62" t="s">
        <v>140</v>
      </c>
      <c r="D51" s="62" t="e" cm="1" vm="1">
        <f t="array" ref="D51">_xlfn.LAMBDA(_xlpm.SALDO_DEVEDOR,_xlpm.TOTAL_PARCELAS,_xlpm.TAXA_DE_JUROS,
    FV(_xlpm.TAXA_DE_JUROS,_xlfn.SEQUENCE(_xlpm.TOTAL_PARCELAS)-1,,-(PMT(_xlpm.TAXA_DE_JUROS,_xlpm.TOTAL_PARCELAS,-_xlpm.SALDO_DEVEDOR)-(_xlpm.SALDO_DEVEDOR*_xlpm.TAXA_DE_JUROS))))</f>
        <v>#VALUE!</v>
      </c>
      <c r="E51" s="62"/>
      <c r="F51" s="62" t="s">
        <v>15</v>
      </c>
      <c r="G51" s="62" t="s">
        <v>70</v>
      </c>
      <c r="H51" s="62" t="s">
        <v>22</v>
      </c>
      <c r="I51" s="1"/>
      <c r="J51" s="1"/>
    </row>
    <row r="52" spans="1:10" x14ac:dyDescent="0.25">
      <c r="A52" s="1"/>
      <c r="B52" s="1"/>
      <c r="C52" s="62" t="s">
        <v>141</v>
      </c>
      <c r="D52" s="62" t="e" cm="1" vm="1">
        <f t="array" ref="D52">_xlfn.LAMBDA(_xlpm.SALDO_DEVEDOR,_xlpm.TOTAL_PARCELAS,_xlpm.TAXA_DE_JUROS,
    _xlfn.SEQUENCE(_xlpm.TOTAL_PARCELAS,,PMT(_xlpm.TAXA_DE_JUROS,_xlpm.TOTAL_PARCELAS,-_xlpm.SALDO_DEVEDOR),0)-
    FV(_xlpm.TAXA_DE_JUROS,_xlfn.SEQUENCE(_xlpm.TOTAL_PARCELAS)-1,,-(PMT(_xlpm.TAXA_DE_JUROS,_xlpm.TOTAL_PARCELAS,-_xlpm.SALDO_DEVEDOR)-(_xlpm.SALDO_DEVEDOR*_xlpm.TAXA_DE_JUROS))))</f>
        <v>#VALUE!</v>
      </c>
      <c r="E52" s="62"/>
      <c r="F52" s="62" t="s">
        <v>15</v>
      </c>
      <c r="G52" s="62" t="s">
        <v>70</v>
      </c>
      <c r="H52" s="62" t="s">
        <v>22</v>
      </c>
      <c r="I52" s="1"/>
      <c r="J52" s="1"/>
    </row>
    <row r="53" spans="1:10" x14ac:dyDescent="0.25">
      <c r="A53" s="1"/>
      <c r="B53" s="1"/>
      <c r="C53" s="62" t="s">
        <v>142</v>
      </c>
      <c r="D53" s="62" t="e" cm="1" vm="1">
        <f t="array" ref="D53">_xlfn.LAMBDA(_xlpm.SALDO_DEVEDOR,_xlpm.TOTAL_PARCELAS,_xlpm.TAXA_DE_JUROS,_xlfn.SEQUENCE(_xlpm.TOTAL_PARCELAS,,PMT(_xlpm.TAXA_DE_JUROS,_xlpm.TOTAL_PARCELAS,-_xlpm.SALDO_DEVEDOR),0))</f>
        <v>#VALUE!</v>
      </c>
      <c r="E53" s="62"/>
      <c r="F53" s="62" t="s">
        <v>15</v>
      </c>
      <c r="G53" s="62" t="s">
        <v>70</v>
      </c>
      <c r="H53" s="62" t="s">
        <v>22</v>
      </c>
      <c r="I53" s="1"/>
      <c r="J53" s="1"/>
    </row>
    <row r="54" spans="1:10" x14ac:dyDescent="0.25">
      <c r="A54" s="1"/>
      <c r="B54" s="1"/>
      <c r="C54" s="62" t="s">
        <v>143</v>
      </c>
      <c r="D54" s="62" t="e" cm="1" vm="1">
        <f t="array" ref="D54">_xlfn.LAMBDA(_xlpm.TOTAL_PARCELAS,_xlfn.SEQUENCE(_xlpm.TOTAL_PARCELAS))</f>
        <v>#VALUE!</v>
      </c>
      <c r="E54" s="62"/>
      <c r="F54" s="62" t="s">
        <v>15</v>
      </c>
      <c r="G54" s="62" t="s">
        <v>70</v>
      </c>
      <c r="H54" s="62" t="s">
        <v>22</v>
      </c>
      <c r="I54" s="1"/>
      <c r="J54" s="1"/>
    </row>
    <row r="55" spans="1:10" x14ac:dyDescent="0.25">
      <c r="A55" s="1"/>
      <c r="B55" s="1"/>
      <c r="C55" s="62" t="s">
        <v>144</v>
      </c>
      <c r="D55" s="62" t="e" cm="1" vm="1">
        <f t="array" ref="D55">_xlfn.LAMBDA(_xlpm.SALDO_DEVEDOR,_xlpm.TOTAL_PARCELAS,_xlpm.TAXA_DE_JUROS,
_xlfn.HSTACK(
    _xlfn.VSTACK("PERIODO",_xlfn.SEQUENCE(_xlpm.TOTAL_PARCELAS)),
    _xlfn.VSTACK("SALDO DEVEDOR",_xlpm.SALDO_DEVEDOR-FV(_xlpm.TAXA_DE_JUROS,_xlfn.SEQUENCE(_xlpm.TOTAL_PARCELAS)-1,-(PMT(_xlpm.TAXA_DE_JUROS,_xlpm.TOTAL_PARCELAS,-_xlpm.SALDO_DEVEDOR)-(_xlpm.SALDO_DEVEDOR*_xlpm.TAXA_DE_JUROS)))),
    _xlfn.VSTACK("AMORT",FV(_xlpm.TAXA_DE_JUROS,_xlfn.SEQUENCE(_xlpm.TOTAL_PARCELAS)-1,,-(PMT(_xlpm.TAXA_DE_JUROS,_xlpm.TOTAL_PARCELAS,-_xlpm.SALDO_DEVEDOR)-(_xlpm.SALDO_DEVEDOR*_xlpm.TAXA_DE_JUROS)))),
    _xlfn.VSTACK("JUROS",_xlfn.SEQUENCE(_xlpm.TOTAL_PARCELAS,,PMT(_xlpm.TAXA_DE_JUROS,_xlpm.TOTAL_PARCELAS,-_xlpm.SALDO_DEVEDOR),0)-FV(_xlpm.TAXA_DE_JUROS,_xlfn.SEQUENCE(_xlpm.TOTAL_PARCELAS)-1,,-(PMT(_xlpm.TAXA_DE_JUROS,_xlpm.TOTAL_PARCELAS,-_xlpm.SALDO_DEVEDOR)-(_xlpm.SALDO_DEVEDOR*_xlpm.TAXA_DE_JUROS)))),
    _xlfn.VSTACK("PARCELA",_xlfn.SEQUENCE(_xlpm.TOTAL_PARCELAS,,PMT(_xlpm.TAXA_DE_JUROS,_xlpm.TOTAL_PARCELAS,-_xlpm.SALDO_DEVEDOR),0))))</f>
        <v>#VALUE!</v>
      </c>
      <c r="E55" s="62"/>
      <c r="F55" s="62" t="s">
        <v>15</v>
      </c>
      <c r="G55" s="62" t="s">
        <v>70</v>
      </c>
      <c r="H55" s="62" t="s">
        <v>22</v>
      </c>
      <c r="I55" s="1"/>
      <c r="J55" s="1"/>
    </row>
    <row r="56" spans="1:10" x14ac:dyDescent="0.25">
      <c r="A56" s="1"/>
      <c r="B56" s="1"/>
      <c r="C56" s="62" t="s">
        <v>146</v>
      </c>
      <c r="D56" s="62" t="e" cm="1" vm="1">
        <f t="array" ref="D56">_xlfn.LAMBDA(_xlpm.INTERVALO_1,_xlpm.INTERVALO_2,
INDEX(_xlpm.INTERVALO_1,ROUNDUP(_xlfn.SEQUENCE(COUNTA(_xlpm.INTERVALO_1)*COUNTA(_xlpm.INTERVALO_2))/COUNTA(_xlpm.INTERVALO_2),0))
&amp;
INDEX(_xlpm.INTERVALO_2,_xlfn.SEQUENCE(COUNTA(_xlpm.INTERVALO_1)*COUNTA(_xlpm.INTERVALO_2))-_xlfn.FLOOR.MATH(_xlfn.SEQUENCE(COUNTA(_xlpm.INTERVALO_1)*COUNTA(_xlpm.INTERVALO_2))-0.1,COUNTA(_xlpm.INTERVALO_2))))</f>
        <v>#VALUE!</v>
      </c>
      <c r="E56" s="62"/>
      <c r="F56" s="62" t="s">
        <v>147</v>
      </c>
      <c r="G56" s="62" t="s">
        <v>110</v>
      </c>
      <c r="H56" s="62" t="s">
        <v>148</v>
      </c>
      <c r="I56" s="1"/>
      <c r="J56" s="1"/>
    </row>
    <row r="57" spans="1:10" x14ac:dyDescent="0.25">
      <c r="A57" s="1"/>
      <c r="B57" s="1"/>
      <c r="C57" s="62"/>
      <c r="D57" s="62"/>
      <c r="E57" s="62"/>
      <c r="F57" s="62"/>
      <c r="G57" s="62"/>
      <c r="H57" s="62"/>
      <c r="I57" s="1"/>
      <c r="J57" s="1"/>
    </row>
    <row r="58" spans="1:10" x14ac:dyDescent="0.25">
      <c r="A58" s="1"/>
      <c r="B58" s="1"/>
      <c r="C58" s="62"/>
      <c r="D58" s="62"/>
      <c r="E58" s="62"/>
      <c r="F58" s="62"/>
      <c r="G58" s="62"/>
      <c r="H58" s="62"/>
      <c r="I58" s="1"/>
      <c r="J58" s="1"/>
    </row>
    <row r="59" spans="1:10" x14ac:dyDescent="0.25">
      <c r="A59" s="1"/>
      <c r="B59" s="1"/>
      <c r="C59" s="62"/>
      <c r="D59" s="62"/>
      <c r="E59" s="62"/>
      <c r="F59" s="62"/>
      <c r="G59" s="62"/>
      <c r="H59" s="62"/>
      <c r="I59" s="1"/>
      <c r="J59" s="1"/>
    </row>
  </sheetData>
  <hyperlinks>
    <hyperlink ref="B33" r:id="rId1" xr:uid="{1D1BCF0B-576E-450A-B589-3E4511DEC33C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96A9C-A7C6-4718-8E46-293833B12E58}">
  <dimension ref="B2:K14"/>
  <sheetViews>
    <sheetView workbookViewId="0">
      <selection activeCell="E20" sqref="E20"/>
    </sheetView>
  </sheetViews>
  <sheetFormatPr defaultRowHeight="15" x14ac:dyDescent="0.25"/>
  <sheetData>
    <row r="2" spans="2:11" x14ac:dyDescent="0.25">
      <c r="B2" t="s">
        <v>41</v>
      </c>
    </row>
    <row r="3" spans="2:11" x14ac:dyDescent="0.25">
      <c r="C3" t="s">
        <v>42</v>
      </c>
    </row>
    <row r="5" spans="2:11" x14ac:dyDescent="0.25">
      <c r="E5" t="s">
        <v>27</v>
      </c>
      <c r="G5" t="s">
        <v>28</v>
      </c>
      <c r="K5" t="s">
        <v>29</v>
      </c>
    </row>
    <row r="6" spans="2:11" x14ac:dyDescent="0.25">
      <c r="E6" t="s">
        <v>30</v>
      </c>
      <c r="G6" t="s">
        <v>31</v>
      </c>
      <c r="K6" t="str" cm="1">
        <f t="array" ref="K6:K14">INDEX(Tabela1[T1],ROUNDUP(_xlfn.SEQUENCE(COUNTA(Tabela1[T1])*COUNTA(Tabela2[T2]))/COUNTA(Tabela2[T2]),0))
&amp;
INDEX(Tabela2[T2],_xlfn.SEQUENCE(COUNTA(Tabela1[T1])*COUNTA(Tabela2[T2]))-_xlfn.FLOOR.MATH(_xlfn.SEQUENCE(COUNTA(Tabela1[T1])*COUNTA(Tabela2[T2]))-0.1,COUNTA(Tabela2[T2])))</f>
        <v>AX</v>
      </c>
    </row>
    <row r="7" spans="2:11" x14ac:dyDescent="0.25">
      <c r="E7" t="s">
        <v>32</v>
      </c>
      <c r="G7" t="s">
        <v>33</v>
      </c>
      <c r="K7" t="str">
        <v>AY</v>
      </c>
    </row>
    <row r="8" spans="2:11" x14ac:dyDescent="0.25">
      <c r="E8" t="s">
        <v>34</v>
      </c>
      <c r="G8" t="s">
        <v>35</v>
      </c>
      <c r="K8" t="str">
        <v>AZ</v>
      </c>
    </row>
    <row r="9" spans="2:11" x14ac:dyDescent="0.25">
      <c r="K9" t="str">
        <v>BX</v>
      </c>
    </row>
    <row r="10" spans="2:11" x14ac:dyDescent="0.25">
      <c r="K10" t="str">
        <v>BY</v>
      </c>
    </row>
    <row r="11" spans="2:11" x14ac:dyDescent="0.25">
      <c r="K11" t="str">
        <v>BZ</v>
      </c>
    </row>
    <row r="12" spans="2:11" x14ac:dyDescent="0.25">
      <c r="K12" t="str">
        <v>CX</v>
      </c>
    </row>
    <row r="13" spans="2:11" x14ac:dyDescent="0.25">
      <c r="K13" t="str">
        <v>CY</v>
      </c>
    </row>
    <row r="14" spans="2:11" x14ac:dyDescent="0.25">
      <c r="K14" t="str">
        <v>CZ</v>
      </c>
    </row>
  </sheetData>
  <conditionalFormatting sqref="K5:K28">
    <cfRule type="duplicateValues" dxfId="0" priority="2"/>
  </conditionalFormatting>
  <pageMargins left="0.511811024" right="0.511811024" top="0.78740157499999996" bottom="0.78740157499999996" header="0.31496062000000002" footer="0.31496062000000002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9E57B-7964-4ED5-AE84-9046B3DAD74E}">
  <dimension ref="A2:V68"/>
  <sheetViews>
    <sheetView workbookViewId="0">
      <selection activeCell="T22" sqref="T22"/>
    </sheetView>
  </sheetViews>
  <sheetFormatPr defaultRowHeight="15" customHeight="1" x14ac:dyDescent="0.25"/>
  <cols>
    <col min="1" max="3" width="9.140625" style="1"/>
    <col min="4" max="4" width="10.5703125" style="1" bestFit="1" customWidth="1"/>
    <col min="5" max="5" width="11.28515625" style="1" bestFit="1" customWidth="1"/>
    <col min="6" max="6" width="8" style="1" bestFit="1" customWidth="1"/>
    <col min="7" max="7" width="7" style="1" bestFit="1" customWidth="1"/>
    <col min="8" max="8" width="7.140625" style="1" bestFit="1" customWidth="1"/>
    <col min="9" max="17" width="7" style="1" bestFit="1" customWidth="1"/>
    <col min="18" max="18" width="8" style="1" bestFit="1" customWidth="1"/>
    <col min="19" max="19" width="7" style="1" bestFit="1" customWidth="1"/>
    <col min="20" max="16384" width="9.140625" style="1"/>
  </cols>
  <sheetData>
    <row r="2" spans="1:15" ht="15" customHeight="1" x14ac:dyDescent="0.25">
      <c r="A2" s="71" t="s">
        <v>43</v>
      </c>
      <c r="B2" s="71"/>
      <c r="C2" s="71"/>
      <c r="D2" s="71"/>
      <c r="E2" s="71"/>
    </row>
    <row r="3" spans="1:15" ht="15" customHeight="1" x14ac:dyDescent="0.25">
      <c r="A3" s="71"/>
      <c r="B3" s="71"/>
      <c r="C3" s="71"/>
      <c r="D3" s="71"/>
      <c r="E3" s="71"/>
    </row>
    <row r="4" spans="1:15" ht="15" customHeight="1" x14ac:dyDescent="0.25">
      <c r="A4" s="71"/>
      <c r="B4" s="71"/>
      <c r="C4" s="71"/>
      <c r="D4" s="71"/>
      <c r="E4" s="71"/>
    </row>
    <row r="6" spans="1:15" ht="15" customHeight="1" x14ac:dyDescent="0.25">
      <c r="B6" s="71" t="s">
        <v>57</v>
      </c>
      <c r="C6" s="71"/>
      <c r="D6" s="71"/>
      <c r="E6" s="71"/>
    </row>
    <row r="7" spans="1:15" ht="15" customHeight="1" x14ac:dyDescent="0.25">
      <c r="B7" s="71"/>
      <c r="C7" s="71"/>
      <c r="D7" s="71"/>
      <c r="E7" s="71"/>
    </row>
    <row r="8" spans="1:15" ht="15" customHeight="1" x14ac:dyDescent="0.25">
      <c r="B8" s="71"/>
      <c r="C8" s="71"/>
      <c r="D8" s="71"/>
      <c r="E8" s="71"/>
    </row>
    <row r="9" spans="1:15" ht="15" customHeight="1" x14ac:dyDescent="0.25">
      <c r="H9" s="3" t="s">
        <v>44</v>
      </c>
      <c r="I9" s="4"/>
      <c r="J9" s="3" t="s">
        <v>45</v>
      </c>
      <c r="K9" s="4"/>
      <c r="L9" s="3" t="s">
        <v>46</v>
      </c>
      <c r="M9" s="4"/>
      <c r="N9" s="5"/>
      <c r="O9" s="6" t="s">
        <v>47</v>
      </c>
    </row>
    <row r="10" spans="1:15" ht="15" customHeight="1" x14ac:dyDescent="0.25">
      <c r="H10" s="7" t="s">
        <v>48</v>
      </c>
      <c r="I10" s="6" t="s">
        <v>49</v>
      </c>
      <c r="J10" s="7" t="s">
        <v>48</v>
      </c>
      <c r="K10" s="6" t="s">
        <v>49</v>
      </c>
      <c r="L10" s="7" t="s">
        <v>48</v>
      </c>
      <c r="M10" s="6" t="s">
        <v>49</v>
      </c>
      <c r="N10" s="5"/>
      <c r="O10" s="6" t="s">
        <v>49</v>
      </c>
    </row>
    <row r="11" spans="1:15" ht="15" customHeight="1" x14ac:dyDescent="0.25">
      <c r="D11" s="1" t="s">
        <v>50</v>
      </c>
      <c r="E11" s="8">
        <v>10</v>
      </c>
      <c r="H11" s="9">
        <f>F17</f>
        <v>0.2</v>
      </c>
      <c r="I11" s="10" cm="1">
        <f t="array" ref="I11:I14">($E$11:$E$14/(1-H11:H14))-$E$11:$E$14</f>
        <v>2.5</v>
      </c>
      <c r="J11" s="9">
        <f>F18</f>
        <v>0.1</v>
      </c>
      <c r="K11" s="10" cm="1">
        <f t="array" ref="K11:K14">($E$11:$E$14/(1-J11:J14))-$E$11:$E$14</f>
        <v>1.1111111111111107</v>
      </c>
      <c r="L11" s="9">
        <f>F19</f>
        <v>0.3</v>
      </c>
      <c r="M11" s="10" cm="1">
        <f t="array" ref="M11:M14">($E$11:$E$14/(1-L11:L14))-$E$11:$E$14</f>
        <v>4.2857142857142865</v>
      </c>
      <c r="N11" s="13"/>
      <c r="O11" s="14">
        <f>M11+K11+I11+E11</f>
        <v>17.896825396825399</v>
      </c>
    </row>
    <row r="12" spans="1:15" ht="15" customHeight="1" x14ac:dyDescent="0.25">
      <c r="D12" s="1" t="s">
        <v>51</v>
      </c>
      <c r="E12" s="8">
        <v>20</v>
      </c>
      <c r="H12" s="15">
        <f>H11</f>
        <v>0.2</v>
      </c>
      <c r="I12" s="11">
        <v>5</v>
      </c>
      <c r="J12" s="15">
        <f>J11</f>
        <v>0.1</v>
      </c>
      <c r="K12" s="11">
        <v>2.2222222222222214</v>
      </c>
      <c r="L12" s="15">
        <f>L11</f>
        <v>0.3</v>
      </c>
      <c r="M12" s="11">
        <v>8.571428571428573</v>
      </c>
      <c r="N12" s="13"/>
      <c r="O12" s="16">
        <f>M12+K12+I12+E12</f>
        <v>35.793650793650798</v>
      </c>
    </row>
    <row r="13" spans="1:15" ht="15" customHeight="1" x14ac:dyDescent="0.25">
      <c r="D13" s="1" t="s">
        <v>52</v>
      </c>
      <c r="E13" s="8">
        <v>10</v>
      </c>
      <c r="H13" s="15">
        <f>H12</f>
        <v>0.2</v>
      </c>
      <c r="I13" s="11">
        <v>2.5</v>
      </c>
      <c r="J13" s="15">
        <f>J12</f>
        <v>0.1</v>
      </c>
      <c r="K13" s="11">
        <v>1.1111111111111107</v>
      </c>
      <c r="L13" s="15">
        <f>L12</f>
        <v>0.3</v>
      </c>
      <c r="M13" s="11">
        <v>4.2857142857142865</v>
      </c>
      <c r="N13" s="13"/>
      <c r="O13" s="16">
        <f>M13+K13+I13+E13</f>
        <v>17.896825396825399</v>
      </c>
    </row>
    <row r="14" spans="1:15" ht="15" customHeight="1" thickBot="1" x14ac:dyDescent="0.3">
      <c r="D14" s="17" t="s">
        <v>53</v>
      </c>
      <c r="E14" s="18">
        <v>10</v>
      </c>
      <c r="H14" s="19">
        <f>H13</f>
        <v>0.2</v>
      </c>
      <c r="I14" s="12">
        <v>2.5</v>
      </c>
      <c r="J14" s="19">
        <f>J13</f>
        <v>0.1</v>
      </c>
      <c r="K14" s="12">
        <v>1.1111111111111107</v>
      </c>
      <c r="L14" s="19">
        <f>L13</f>
        <v>0.3</v>
      </c>
      <c r="M14" s="12">
        <v>4.2857142857142865</v>
      </c>
      <c r="N14" s="13"/>
      <c r="O14" s="20">
        <f>M14+K14+I14+E14</f>
        <v>17.896825396825399</v>
      </c>
    </row>
    <row r="15" spans="1:15" ht="15" customHeight="1" thickTop="1" x14ac:dyDescent="0.25">
      <c r="D15" s="1" t="s">
        <v>54</v>
      </c>
      <c r="E15" s="8">
        <f>SUM(E11:E14)</f>
        <v>50</v>
      </c>
      <c r="H15" s="21"/>
      <c r="I15" s="22">
        <f>SUM(I11:I14)</f>
        <v>12.5</v>
      </c>
      <c r="J15" s="21"/>
      <c r="K15" s="22">
        <f>SUM(K11:K14)</f>
        <v>5.5555555555555536</v>
      </c>
      <c r="L15" s="21"/>
      <c r="M15" s="22">
        <f>SUM(M11:M14)</f>
        <v>21.428571428571431</v>
      </c>
      <c r="N15" s="13"/>
      <c r="O15" s="22">
        <f>SUM(O11:O14)</f>
        <v>89.484126984126988</v>
      </c>
    </row>
    <row r="17" spans="2:18" ht="15" customHeight="1" x14ac:dyDescent="0.25">
      <c r="D17" s="1" t="s">
        <v>44</v>
      </c>
      <c r="E17" s="8">
        <f>F17*$E$22</f>
        <v>25.000000000000007</v>
      </c>
      <c r="F17" s="23">
        <v>0.2</v>
      </c>
      <c r="I17" s="68" t="s">
        <v>55</v>
      </c>
      <c r="J17" s="69"/>
      <c r="K17" s="69"/>
      <c r="L17" s="69"/>
      <c r="M17" s="69"/>
      <c r="N17" s="69"/>
      <c r="O17" s="69"/>
    </row>
    <row r="18" spans="2:18" ht="15" customHeight="1" x14ac:dyDescent="0.25">
      <c r="D18" s="1" t="s">
        <v>45</v>
      </c>
      <c r="E18" s="8">
        <f>F18*$E$22</f>
        <v>12.500000000000004</v>
      </c>
      <c r="F18" s="23">
        <v>0.1</v>
      </c>
      <c r="I18" s="69"/>
      <c r="J18" s="69"/>
      <c r="K18" s="69"/>
      <c r="L18" s="69"/>
      <c r="M18" s="69"/>
      <c r="N18" s="69"/>
      <c r="O18" s="69"/>
    </row>
    <row r="19" spans="2:18" ht="15" customHeight="1" thickBot="1" x14ac:dyDescent="0.3">
      <c r="D19" s="17" t="s">
        <v>46</v>
      </c>
      <c r="E19" s="18">
        <f>F19*$E$22</f>
        <v>37.500000000000007</v>
      </c>
      <c r="F19" s="24">
        <v>0.3</v>
      </c>
      <c r="I19" s="69"/>
      <c r="J19" s="69"/>
      <c r="K19" s="69"/>
      <c r="L19" s="69"/>
      <c r="M19" s="69"/>
      <c r="N19" s="69"/>
      <c r="O19" s="69"/>
    </row>
    <row r="20" spans="2:18" ht="15" customHeight="1" thickTop="1" x14ac:dyDescent="0.25">
      <c r="D20" s="1" t="s">
        <v>56</v>
      </c>
      <c r="E20" s="8">
        <f>SUM(E17:E19)</f>
        <v>75.000000000000028</v>
      </c>
      <c r="I20" s="69"/>
      <c r="J20" s="69"/>
      <c r="K20" s="69"/>
      <c r="L20" s="69"/>
      <c r="M20" s="69"/>
      <c r="N20" s="69"/>
      <c r="O20" s="69"/>
    </row>
    <row r="21" spans="2:18" ht="15" customHeight="1" x14ac:dyDescent="0.25">
      <c r="I21" s="69"/>
      <c r="J21" s="69"/>
      <c r="K21" s="69"/>
      <c r="L21" s="69"/>
      <c r="M21" s="69"/>
      <c r="N21" s="69"/>
      <c r="O21" s="69"/>
    </row>
    <row r="22" spans="2:18" ht="15" customHeight="1" x14ac:dyDescent="0.25">
      <c r="D22" s="25" t="s">
        <v>47</v>
      </c>
      <c r="E22" s="26">
        <f>E15/(1-SUM(F17:F19))</f>
        <v>125.00000000000003</v>
      </c>
      <c r="F22" s="27">
        <f>E20+E15</f>
        <v>125.00000000000003</v>
      </c>
      <c r="I22" s="69"/>
      <c r="J22" s="69"/>
      <c r="K22" s="69"/>
      <c r="L22" s="69"/>
      <c r="M22" s="69"/>
      <c r="N22" s="69"/>
      <c r="O22" s="69"/>
    </row>
    <row r="23" spans="2:18" ht="15" customHeight="1" x14ac:dyDescent="0.25">
      <c r="H23" s="70" t="str">
        <f>_xlfn.CONCAT("VARIAÇÃO DO VALOR CALCULADO PARA O CORRETO DE: R$ ",TEXT(O15-E22,"#.##0,00")) &amp; CHAR(10) &amp;
_xlfn.CONCAT("EQUIVALENTE A ",TEXT(O15/E22-1,"0,0%"))</f>
        <v>VARIAÇÃO DO VALOR CALCULADO PARA O CORRETO DE: R$ -35,52
EQUIVALENTE A -28,4%</v>
      </c>
      <c r="I23" s="70"/>
      <c r="J23" s="70"/>
      <c r="K23" s="70"/>
      <c r="L23" s="70"/>
      <c r="M23" s="70"/>
      <c r="N23" s="70"/>
      <c r="O23" s="70"/>
    </row>
    <row r="24" spans="2:18" ht="15" customHeight="1" x14ac:dyDescent="0.25">
      <c r="H24" s="70"/>
      <c r="I24" s="70"/>
      <c r="J24" s="70"/>
      <c r="K24" s="70"/>
      <c r="L24" s="70"/>
      <c r="M24" s="70"/>
      <c r="N24" s="70"/>
      <c r="O24" s="70"/>
    </row>
    <row r="26" spans="2:18" s="36" customFormat="1" ht="15" customHeight="1" x14ac:dyDescent="0.25"/>
    <row r="28" spans="2:18" ht="15" customHeight="1" x14ac:dyDescent="0.25">
      <c r="B28" s="71" t="s">
        <v>58</v>
      </c>
      <c r="C28" s="71"/>
      <c r="D28" s="71"/>
      <c r="E28" s="71"/>
      <c r="F28" s="2"/>
    </row>
    <row r="29" spans="2:18" ht="15" customHeight="1" x14ac:dyDescent="0.25">
      <c r="B29" s="71"/>
      <c r="C29" s="71"/>
      <c r="D29" s="71"/>
      <c r="E29" s="71"/>
      <c r="F29" s="2"/>
    </row>
    <row r="30" spans="2:18" ht="15" customHeight="1" x14ac:dyDescent="0.25">
      <c r="B30" s="71"/>
      <c r="C30" s="71"/>
      <c r="D30" s="71"/>
      <c r="E30" s="71"/>
      <c r="F30" s="2"/>
      <c r="H30" s="3" t="s">
        <v>44</v>
      </c>
      <c r="I30" s="28"/>
      <c r="J30" s="4"/>
      <c r="K30" s="3" t="s">
        <v>45</v>
      </c>
      <c r="L30" s="28"/>
      <c r="M30" s="4"/>
      <c r="N30" s="3" t="s">
        <v>46</v>
      </c>
      <c r="O30" s="28"/>
      <c r="P30" s="4"/>
      <c r="Q30" s="5"/>
      <c r="R30" s="6" t="s">
        <v>47</v>
      </c>
    </row>
    <row r="31" spans="2:18" ht="15" customHeight="1" x14ac:dyDescent="0.25">
      <c r="H31" s="7" t="s">
        <v>48</v>
      </c>
      <c r="I31" s="7" t="s">
        <v>59</v>
      </c>
      <c r="J31" s="6" t="s">
        <v>49</v>
      </c>
      <c r="K31" s="7" t="s">
        <v>48</v>
      </c>
      <c r="L31" s="7" t="s">
        <v>59</v>
      </c>
      <c r="M31" s="6" t="s">
        <v>49</v>
      </c>
      <c r="N31" s="7" t="s">
        <v>48</v>
      </c>
      <c r="O31" s="7" t="s">
        <v>59</v>
      </c>
      <c r="P31" s="6" t="s">
        <v>49</v>
      </c>
      <c r="Q31" s="5"/>
      <c r="R31" s="6" t="s">
        <v>49</v>
      </c>
    </row>
    <row r="32" spans="2:18" ht="15" customHeight="1" x14ac:dyDescent="0.25">
      <c r="D32" s="1" t="s">
        <v>50</v>
      </c>
      <c r="E32" s="8">
        <v>10</v>
      </c>
      <c r="F32" s="8"/>
      <c r="H32" s="9">
        <f>G38</f>
        <v>0.2</v>
      </c>
      <c r="I32" s="29">
        <f t="shared" ref="I32:I35" si="0">$R32</f>
        <v>25.000000000000007</v>
      </c>
      <c r="J32" s="14" cm="1">
        <f t="array" ref="J32:J35">H32:H35*I32:I35</f>
        <v>5.0000000000000018</v>
      </c>
      <c r="K32" s="9">
        <f>G39</f>
        <v>0.1</v>
      </c>
      <c r="L32" s="29">
        <f>$R32</f>
        <v>25.000000000000007</v>
      </c>
      <c r="M32" s="14" cm="1">
        <f t="array" ref="M32:M35">K32:K35*L32:L35</f>
        <v>2.5000000000000009</v>
      </c>
      <c r="N32" s="9">
        <f>G40</f>
        <v>0.3</v>
      </c>
      <c r="O32" s="29">
        <f>$R32</f>
        <v>25.000000000000007</v>
      </c>
      <c r="P32" s="14" cm="1">
        <f t="array" ref="P32:P35">N32:N35*O32:O35</f>
        <v>7.5000000000000018</v>
      </c>
      <c r="Q32" s="13"/>
      <c r="R32" s="10">
        <f>E32/(1-SUM(H32,K32,N32))</f>
        <v>25.000000000000007</v>
      </c>
    </row>
    <row r="33" spans="2:18" ht="15" customHeight="1" x14ac:dyDescent="0.25">
      <c r="D33" s="1" t="s">
        <v>51</v>
      </c>
      <c r="E33" s="8">
        <v>20</v>
      </c>
      <c r="F33" s="8"/>
      <c r="H33" s="15">
        <f>H32</f>
        <v>0.2</v>
      </c>
      <c r="I33" s="30">
        <f t="shared" si="0"/>
        <v>50.000000000000014</v>
      </c>
      <c r="J33" s="16">
        <v>10.000000000000004</v>
      </c>
      <c r="K33" s="15">
        <f>K32</f>
        <v>0.1</v>
      </c>
      <c r="L33" s="30">
        <f t="shared" ref="L33:L35" si="1">$R33</f>
        <v>50.000000000000014</v>
      </c>
      <c r="M33" s="16">
        <v>5.0000000000000018</v>
      </c>
      <c r="N33" s="15">
        <f>N32</f>
        <v>0.3</v>
      </c>
      <c r="O33" s="30">
        <f t="shared" ref="O33:O35" si="2">$R33</f>
        <v>50.000000000000014</v>
      </c>
      <c r="P33" s="16">
        <v>15.000000000000004</v>
      </c>
      <c r="Q33" s="13"/>
      <c r="R33" s="11">
        <f>E33/(1-SUM(H33,K33,N33))</f>
        <v>50.000000000000014</v>
      </c>
    </row>
    <row r="34" spans="2:18" ht="15" customHeight="1" x14ac:dyDescent="0.25">
      <c r="D34" s="1" t="s">
        <v>52</v>
      </c>
      <c r="E34" s="8">
        <v>10</v>
      </c>
      <c r="F34" s="8"/>
      <c r="H34" s="15">
        <f>H33</f>
        <v>0.2</v>
      </c>
      <c r="I34" s="30">
        <f t="shared" si="0"/>
        <v>25.000000000000007</v>
      </c>
      <c r="J34" s="16">
        <v>5.0000000000000018</v>
      </c>
      <c r="K34" s="15">
        <f>K33</f>
        <v>0.1</v>
      </c>
      <c r="L34" s="30">
        <f t="shared" si="1"/>
        <v>25.000000000000007</v>
      </c>
      <c r="M34" s="16">
        <v>2.5000000000000009</v>
      </c>
      <c r="N34" s="15">
        <f>N33</f>
        <v>0.3</v>
      </c>
      <c r="O34" s="30">
        <f t="shared" si="2"/>
        <v>25.000000000000007</v>
      </c>
      <c r="P34" s="16">
        <v>7.5000000000000018</v>
      </c>
      <c r="Q34" s="13"/>
      <c r="R34" s="11">
        <f>E34/(1-SUM(H34,K34,N34))</f>
        <v>25.000000000000007</v>
      </c>
    </row>
    <row r="35" spans="2:18" ht="15" customHeight="1" thickBot="1" x14ac:dyDescent="0.3">
      <c r="D35" s="17" t="s">
        <v>53</v>
      </c>
      <c r="E35" s="18">
        <v>10</v>
      </c>
      <c r="F35" s="13"/>
      <c r="H35" s="19">
        <f>H34</f>
        <v>0.2</v>
      </c>
      <c r="I35" s="31">
        <f t="shared" si="0"/>
        <v>25.000000000000007</v>
      </c>
      <c r="J35" s="20">
        <v>5.0000000000000018</v>
      </c>
      <c r="K35" s="19">
        <f>K34</f>
        <v>0.1</v>
      </c>
      <c r="L35" s="31">
        <f t="shared" si="1"/>
        <v>25.000000000000007</v>
      </c>
      <c r="M35" s="20">
        <v>2.5000000000000009</v>
      </c>
      <c r="N35" s="19">
        <f>N34</f>
        <v>0.3</v>
      </c>
      <c r="O35" s="31">
        <f t="shared" si="2"/>
        <v>25.000000000000007</v>
      </c>
      <c r="P35" s="20">
        <v>7.5000000000000018</v>
      </c>
      <c r="Q35" s="13"/>
      <c r="R35" s="12">
        <f>E35/(1-SUM(H35,K35,N35))</f>
        <v>25.000000000000007</v>
      </c>
    </row>
    <row r="36" spans="2:18" ht="15" customHeight="1" thickTop="1" x14ac:dyDescent="0.25">
      <c r="D36" s="1" t="s">
        <v>54</v>
      </c>
      <c r="E36" s="8">
        <f>SUM(E32:E35)</f>
        <v>50</v>
      </c>
      <c r="F36" s="8"/>
      <c r="H36" s="21"/>
      <c r="I36" s="21"/>
      <c r="J36" s="22">
        <f>SUM(J32:J35)</f>
        <v>25.000000000000007</v>
      </c>
      <c r="K36" s="21"/>
      <c r="L36" s="21"/>
      <c r="M36" s="22">
        <f>SUM(M32:M35)</f>
        <v>12.500000000000004</v>
      </c>
      <c r="N36" s="21"/>
      <c r="O36" s="21"/>
      <c r="P36" s="22">
        <f>SUM(P32:P35)</f>
        <v>37.500000000000007</v>
      </c>
      <c r="Q36" s="13"/>
      <c r="R36" s="22">
        <f>SUM(R32:R35)</f>
        <v>125.00000000000003</v>
      </c>
    </row>
    <row r="37" spans="2:18" ht="15" customHeight="1" x14ac:dyDescent="0.25">
      <c r="F37" s="5" t="s">
        <v>59</v>
      </c>
    </row>
    <row r="38" spans="2:18" ht="15" customHeight="1" x14ac:dyDescent="0.25">
      <c r="D38" s="1" t="s">
        <v>44</v>
      </c>
      <c r="E38" s="8">
        <f>G38*$E$17</f>
        <v>5.0000000000000018</v>
      </c>
      <c r="F38" s="8">
        <f>E43</f>
        <v>125.00000000000003</v>
      </c>
      <c r="G38" s="23">
        <v>0.2</v>
      </c>
      <c r="J38" s="68" t="s">
        <v>60</v>
      </c>
      <c r="K38" s="69"/>
      <c r="L38" s="69"/>
      <c r="M38" s="69"/>
      <c r="N38" s="69"/>
      <c r="O38" s="69"/>
      <c r="P38" s="69"/>
      <c r="Q38" s="69"/>
      <c r="R38" s="69"/>
    </row>
    <row r="39" spans="2:18" ht="15" customHeight="1" x14ac:dyDescent="0.25">
      <c r="D39" s="1" t="s">
        <v>45</v>
      </c>
      <c r="E39" s="8">
        <f>G39*$E$17</f>
        <v>2.5000000000000009</v>
      </c>
      <c r="F39" s="8">
        <f>F38</f>
        <v>125.00000000000003</v>
      </c>
      <c r="G39" s="23">
        <v>0.1</v>
      </c>
      <c r="J39" s="69"/>
      <c r="K39" s="69"/>
      <c r="L39" s="69"/>
      <c r="M39" s="69"/>
      <c r="N39" s="69"/>
      <c r="O39" s="69"/>
      <c r="P39" s="69"/>
      <c r="Q39" s="69"/>
      <c r="R39" s="69"/>
    </row>
    <row r="40" spans="2:18" ht="15" customHeight="1" thickBot="1" x14ac:dyDescent="0.3">
      <c r="D40" s="17" t="s">
        <v>46</v>
      </c>
      <c r="E40" s="18">
        <f>G40*$E$17</f>
        <v>7.5000000000000018</v>
      </c>
      <c r="F40" s="18">
        <f>F39</f>
        <v>125.00000000000003</v>
      </c>
      <c r="G40" s="24">
        <v>0.3</v>
      </c>
      <c r="J40" s="69"/>
      <c r="K40" s="69"/>
      <c r="L40" s="69"/>
      <c r="M40" s="69"/>
      <c r="N40" s="69"/>
      <c r="O40" s="69"/>
      <c r="P40" s="69"/>
      <c r="Q40" s="69"/>
      <c r="R40" s="69"/>
    </row>
    <row r="41" spans="2:18" ht="15" customHeight="1" thickTop="1" x14ac:dyDescent="0.25">
      <c r="D41" s="1" t="s">
        <v>56</v>
      </c>
      <c r="E41" s="8">
        <f>SUM(E38:E40)</f>
        <v>15.000000000000004</v>
      </c>
      <c r="F41" s="8"/>
      <c r="J41" s="69"/>
      <c r="K41" s="69"/>
      <c r="L41" s="69"/>
      <c r="M41" s="69"/>
      <c r="N41" s="69"/>
      <c r="O41" s="69"/>
      <c r="P41" s="69"/>
      <c r="Q41" s="69"/>
      <c r="R41" s="69"/>
    </row>
    <row r="42" spans="2:18" ht="15" customHeight="1" x14ac:dyDescent="0.25">
      <c r="J42" s="69"/>
      <c r="K42" s="69"/>
      <c r="L42" s="69"/>
      <c r="M42" s="69"/>
      <c r="N42" s="69"/>
      <c r="O42" s="69"/>
      <c r="P42" s="69"/>
      <c r="Q42" s="69"/>
      <c r="R42" s="69"/>
    </row>
    <row r="43" spans="2:18" ht="15" customHeight="1" x14ac:dyDescent="0.25">
      <c r="D43" s="25" t="s">
        <v>47</v>
      </c>
      <c r="E43" s="26">
        <f>E36/(1-SUM(G38:G40))</f>
        <v>125.00000000000003</v>
      </c>
      <c r="F43" s="26"/>
      <c r="G43" s="27">
        <f>E41+E36</f>
        <v>65</v>
      </c>
      <c r="J43" s="69"/>
      <c r="K43" s="69"/>
      <c r="L43" s="69"/>
      <c r="M43" s="69"/>
      <c r="N43" s="69"/>
      <c r="O43" s="69"/>
      <c r="P43" s="69"/>
      <c r="Q43" s="69"/>
      <c r="R43" s="69"/>
    </row>
    <row r="44" spans="2:18" ht="15" customHeight="1" x14ac:dyDescent="0.25">
      <c r="H44" s="70" t="str">
        <f>_xlfn.CONCAT("VARIAÇÃO DO VALOR CALCULADO PARA O CORRETO DE: R$ ",TEXT(R36-E43,"#.##0,00")) &amp; CHAR(10) &amp;
_xlfn.CONCAT("EQUIVALENTE A ",TEXT(R36/E43-1,"0,0%"))</f>
        <v>VARIAÇÃO DO VALOR CALCULADO PARA O CORRETO DE: R$ 0,00
EQUIVALENTE A 0,0%</v>
      </c>
      <c r="I44" s="70"/>
      <c r="J44" s="70"/>
      <c r="K44" s="70"/>
      <c r="L44" s="70"/>
      <c r="M44" s="70"/>
      <c r="N44" s="70"/>
      <c r="O44" s="70"/>
      <c r="P44" s="70"/>
      <c r="Q44" s="70"/>
      <c r="R44" s="70"/>
    </row>
    <row r="45" spans="2:18" ht="15" customHeight="1" x14ac:dyDescent="0.25"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</row>
    <row r="46" spans="2:18" s="36" customFormat="1" ht="15" customHeight="1" x14ac:dyDescent="0.25"/>
    <row r="48" spans="2:18" ht="15" customHeight="1" x14ac:dyDescent="0.25">
      <c r="B48" s="71" t="s">
        <v>67</v>
      </c>
      <c r="C48" s="71"/>
      <c r="D48" s="71"/>
      <c r="E48" s="71"/>
      <c r="F48" s="2"/>
    </row>
    <row r="49" spans="2:22" ht="15" customHeight="1" x14ac:dyDescent="0.25">
      <c r="B49" s="71"/>
      <c r="C49" s="71"/>
      <c r="D49" s="71"/>
      <c r="E49" s="71"/>
      <c r="F49" s="2"/>
      <c r="H49" s="3" t="s">
        <v>61</v>
      </c>
      <c r="I49" s="28"/>
      <c r="J49" s="4"/>
      <c r="K49" s="3" t="s">
        <v>62</v>
      </c>
      <c r="L49" s="28"/>
      <c r="M49" s="4"/>
      <c r="N49" s="3"/>
      <c r="O49" s="28"/>
      <c r="P49" s="4"/>
    </row>
    <row r="50" spans="2:22" ht="15" customHeight="1" x14ac:dyDescent="0.25">
      <c r="B50" s="71"/>
      <c r="C50" s="71"/>
      <c r="D50" s="71"/>
      <c r="E50" s="71"/>
      <c r="F50" s="2"/>
      <c r="H50" s="3" t="s">
        <v>44</v>
      </c>
      <c r="I50" s="28"/>
      <c r="J50" s="4"/>
      <c r="K50" s="3" t="s">
        <v>45</v>
      </c>
      <c r="L50" s="28"/>
      <c r="M50" s="4"/>
      <c r="N50" s="3" t="s">
        <v>46</v>
      </c>
      <c r="O50" s="28"/>
      <c r="P50" s="4"/>
      <c r="Q50" s="5"/>
      <c r="R50" s="6" t="s">
        <v>47</v>
      </c>
      <c r="T50" s="6" t="s">
        <v>69</v>
      </c>
      <c r="V50" s="6" t="s">
        <v>68</v>
      </c>
    </row>
    <row r="51" spans="2:22" ht="15" customHeight="1" x14ac:dyDescent="0.25">
      <c r="H51" s="7" t="s">
        <v>48</v>
      </c>
      <c r="I51" s="7" t="s">
        <v>59</v>
      </c>
      <c r="J51" s="6" t="s">
        <v>49</v>
      </c>
      <c r="K51" s="7" t="s">
        <v>48</v>
      </c>
      <c r="L51" s="7" t="s">
        <v>59</v>
      </c>
      <c r="M51" s="6" t="s">
        <v>49</v>
      </c>
      <c r="N51" s="7" t="s">
        <v>48</v>
      </c>
      <c r="O51" s="7" t="s">
        <v>59</v>
      </c>
      <c r="P51" s="6" t="s">
        <v>49</v>
      </c>
      <c r="Q51" s="5"/>
      <c r="R51" s="6" t="s">
        <v>49</v>
      </c>
      <c r="T51" s="6" t="s">
        <v>49</v>
      </c>
      <c r="V51" s="6" t="s">
        <v>49</v>
      </c>
    </row>
    <row r="52" spans="2:22" ht="15" customHeight="1" x14ac:dyDescent="0.25">
      <c r="D52" s="1" t="s">
        <v>50</v>
      </c>
      <c r="E52" s="8">
        <v>10</v>
      </c>
      <c r="F52" s="8"/>
      <c r="H52" s="9">
        <f>G58</f>
        <v>0.2</v>
      </c>
      <c r="I52" s="32">
        <f>$Q52</f>
        <v>0</v>
      </c>
      <c r="J52" s="10" cm="1">
        <f t="array" ref="J52:J55">H52:H55*I52:I55</f>
        <v>0</v>
      </c>
      <c r="K52" s="9">
        <f>G59</f>
        <v>0.1</v>
      </c>
      <c r="L52" s="32">
        <f>$Q52</f>
        <v>0</v>
      </c>
      <c r="M52" s="10" cm="1">
        <f t="array" ref="M52:M55">K52:K55*L52:L55</f>
        <v>0</v>
      </c>
      <c r="N52" s="9">
        <f>G60</f>
        <v>0.3</v>
      </c>
      <c r="O52" s="32">
        <f>$Q52</f>
        <v>0</v>
      </c>
      <c r="P52" s="10" cm="1">
        <f t="array" ref="P52:P55">N52:N55*O52:O55</f>
        <v>0</v>
      </c>
      <c r="Q52" s="13"/>
      <c r="R52" s="10">
        <f>E52/(1-(K52/(1-H52))-(N52/(1-H52)))</f>
        <v>20</v>
      </c>
      <c r="T52" s="10">
        <f>E52*(1-H52)/(1-H52-K52-N52)</f>
        <v>19.999999999999996</v>
      </c>
      <c r="V52" s="10" cm="1">
        <f t="array" ref="V52">CALC.PV.HIBRIDO(E52,H52,K52+N52)</f>
        <v>20</v>
      </c>
    </row>
    <row r="53" spans="2:22" ht="15" customHeight="1" x14ac:dyDescent="0.25">
      <c r="D53" s="1" t="s">
        <v>51</v>
      </c>
      <c r="E53" s="8">
        <v>20</v>
      </c>
      <c r="F53" s="8"/>
      <c r="H53" s="15">
        <f>H52</f>
        <v>0.2</v>
      </c>
      <c r="I53" s="33">
        <f t="shared" ref="I53:I55" si="3">$Q53</f>
        <v>0</v>
      </c>
      <c r="J53" s="11">
        <v>0</v>
      </c>
      <c r="K53" s="15">
        <f>K52</f>
        <v>0.1</v>
      </c>
      <c r="L53" s="33">
        <f t="shared" ref="L53:L55" si="4">$Q53</f>
        <v>0</v>
      </c>
      <c r="M53" s="11">
        <v>0</v>
      </c>
      <c r="N53" s="15">
        <f>N52</f>
        <v>0.3</v>
      </c>
      <c r="O53" s="33">
        <f t="shared" ref="O53:O55" si="5">$Q53</f>
        <v>0</v>
      </c>
      <c r="P53" s="11">
        <v>0</v>
      </c>
      <c r="Q53" s="13"/>
      <c r="R53" s="11">
        <f t="shared" ref="R53:R55" si="6">E53/(1-(K53/(1-H53))-(N53/(1-H53)))</f>
        <v>40</v>
      </c>
      <c r="T53" s="11">
        <f t="shared" ref="T53:T55" si="7">E53*(1-H53)/(1-H53-K53-N53)</f>
        <v>39.999999999999993</v>
      </c>
      <c r="V53" s="11" cm="1">
        <f t="array" ref="V53">CALC.PV.HIBRIDO(E53,H53,K53+N53)</f>
        <v>40</v>
      </c>
    </row>
    <row r="54" spans="2:22" ht="15" customHeight="1" x14ac:dyDescent="0.25">
      <c r="D54" s="1" t="s">
        <v>52</v>
      </c>
      <c r="E54" s="8">
        <v>10</v>
      </c>
      <c r="F54" s="8"/>
      <c r="H54" s="15">
        <f>H53</f>
        <v>0.2</v>
      </c>
      <c r="I54" s="33">
        <f t="shared" si="3"/>
        <v>0</v>
      </c>
      <c r="J54" s="11">
        <v>0</v>
      </c>
      <c r="K54" s="15">
        <f>K53</f>
        <v>0.1</v>
      </c>
      <c r="L54" s="33">
        <f t="shared" si="4"/>
        <v>0</v>
      </c>
      <c r="M54" s="11">
        <v>0</v>
      </c>
      <c r="N54" s="15">
        <f>N53</f>
        <v>0.3</v>
      </c>
      <c r="O54" s="33">
        <f t="shared" si="5"/>
        <v>0</v>
      </c>
      <c r="P54" s="11">
        <v>0</v>
      </c>
      <c r="Q54" s="13"/>
      <c r="R54" s="11">
        <f t="shared" si="6"/>
        <v>20</v>
      </c>
      <c r="T54" s="11">
        <f t="shared" si="7"/>
        <v>19.999999999999996</v>
      </c>
      <c r="V54" s="11" cm="1">
        <f t="array" ref="V54">CALC.PV.HIBRIDO(E54,H54,K54+N54)</f>
        <v>20</v>
      </c>
    </row>
    <row r="55" spans="2:22" ht="15" customHeight="1" thickBot="1" x14ac:dyDescent="0.3">
      <c r="D55" s="17" t="s">
        <v>53</v>
      </c>
      <c r="E55" s="18">
        <v>10</v>
      </c>
      <c r="F55" s="13"/>
      <c r="H55" s="19">
        <f>H54</f>
        <v>0.2</v>
      </c>
      <c r="I55" s="34">
        <f t="shared" si="3"/>
        <v>0</v>
      </c>
      <c r="J55" s="12">
        <v>0</v>
      </c>
      <c r="K55" s="19">
        <f>K54</f>
        <v>0.1</v>
      </c>
      <c r="L55" s="34">
        <f t="shared" si="4"/>
        <v>0</v>
      </c>
      <c r="M55" s="12">
        <v>0</v>
      </c>
      <c r="N55" s="19">
        <f>N54</f>
        <v>0.3</v>
      </c>
      <c r="O55" s="34">
        <f t="shared" si="5"/>
        <v>0</v>
      </c>
      <c r="P55" s="12">
        <v>0</v>
      </c>
      <c r="Q55" s="13"/>
      <c r="R55" s="12">
        <f t="shared" si="6"/>
        <v>20</v>
      </c>
      <c r="T55" s="12">
        <f t="shared" si="7"/>
        <v>19.999999999999996</v>
      </c>
      <c r="V55" s="12" cm="1">
        <f t="array" ref="V55">CALC.PV.HIBRIDO(E55,H55,K55+N55)</f>
        <v>20</v>
      </c>
    </row>
    <row r="56" spans="2:22" ht="15" customHeight="1" thickTop="1" x14ac:dyDescent="0.25">
      <c r="D56" s="1" t="s">
        <v>54</v>
      </c>
      <c r="E56" s="8">
        <f>SUM(E52:E55)</f>
        <v>50</v>
      </c>
      <c r="F56" s="8"/>
      <c r="H56" s="21"/>
      <c r="I56" s="21"/>
      <c r="J56" s="22">
        <f>SUM(J52:J55)</f>
        <v>0</v>
      </c>
      <c r="K56" s="21"/>
      <c r="L56" s="21"/>
      <c r="M56" s="22">
        <f>SUM(M52:M55)</f>
        <v>0</v>
      </c>
      <c r="N56" s="21"/>
      <c r="O56" s="21"/>
      <c r="P56" s="22">
        <f>SUM(P52:P55)</f>
        <v>0</v>
      </c>
      <c r="Q56" s="13"/>
      <c r="R56" s="22">
        <f>SUM(R52:R55)</f>
        <v>100</v>
      </c>
      <c r="T56" s="22">
        <f>SUM(T52:T55)</f>
        <v>99.999999999999986</v>
      </c>
      <c r="V56" s="22">
        <f>SUM(V52:V55)</f>
        <v>100</v>
      </c>
    </row>
    <row r="57" spans="2:22" ht="15" customHeight="1" x14ac:dyDescent="0.25">
      <c r="F57" s="5" t="s">
        <v>59</v>
      </c>
      <c r="G57" s="1" t="s">
        <v>63</v>
      </c>
      <c r="H57" s="1" t="s">
        <v>64</v>
      </c>
    </row>
    <row r="58" spans="2:22" ht="15" customHeight="1" x14ac:dyDescent="0.25">
      <c r="D58" s="1" t="s">
        <v>44</v>
      </c>
      <c r="E58" s="8">
        <f>G58*F58</f>
        <v>10</v>
      </c>
      <c r="F58" s="8">
        <f>E63-E56</f>
        <v>50</v>
      </c>
      <c r="G58" s="23">
        <v>0.2</v>
      </c>
      <c r="J58" s="68" t="s">
        <v>65</v>
      </c>
      <c r="K58" s="69"/>
      <c r="L58" s="69"/>
      <c r="M58" s="69"/>
      <c r="N58" s="69"/>
      <c r="O58" s="69"/>
      <c r="P58" s="69"/>
      <c r="Q58" s="69"/>
      <c r="R58" s="69"/>
    </row>
    <row r="59" spans="2:22" ht="15" customHeight="1" x14ac:dyDescent="0.25">
      <c r="D59" s="1" t="s">
        <v>45</v>
      </c>
      <c r="E59" s="8">
        <f t="shared" ref="E59:E60" si="8">G59*F59</f>
        <v>10</v>
      </c>
      <c r="F59" s="8">
        <f>E63</f>
        <v>100</v>
      </c>
      <c r="G59" s="23">
        <v>0.1</v>
      </c>
      <c r="H59" s="23">
        <f>G59/(1-$H$12)</f>
        <v>0.125</v>
      </c>
      <c r="J59" s="69"/>
      <c r="K59" s="69"/>
      <c r="L59" s="69"/>
      <c r="M59" s="69"/>
      <c r="N59" s="69"/>
      <c r="O59" s="69"/>
      <c r="P59" s="69"/>
      <c r="Q59" s="69"/>
      <c r="R59" s="69"/>
    </row>
    <row r="60" spans="2:22" ht="15" customHeight="1" thickBot="1" x14ac:dyDescent="0.3">
      <c r="D60" s="17" t="s">
        <v>46</v>
      </c>
      <c r="E60" s="18">
        <f t="shared" si="8"/>
        <v>30</v>
      </c>
      <c r="F60" s="18">
        <f>F59</f>
        <v>100</v>
      </c>
      <c r="G60" s="24">
        <v>0.3</v>
      </c>
      <c r="H60" s="24">
        <f>G60/(1-$H$12)</f>
        <v>0.37499999999999994</v>
      </c>
      <c r="J60" s="69"/>
      <c r="K60" s="69"/>
      <c r="L60" s="69"/>
      <c r="M60" s="69"/>
      <c r="N60" s="69"/>
      <c r="O60" s="69"/>
      <c r="P60" s="69"/>
      <c r="Q60" s="69"/>
      <c r="R60" s="69"/>
    </row>
    <row r="61" spans="2:22" ht="15" customHeight="1" thickTop="1" x14ac:dyDescent="0.25">
      <c r="D61" s="1" t="s">
        <v>56</v>
      </c>
      <c r="E61" s="8">
        <f>SUM(E58:E60)</f>
        <v>50</v>
      </c>
      <c r="F61" s="8"/>
      <c r="G61" s="23">
        <f>SUM(G58:G60)</f>
        <v>0.60000000000000009</v>
      </c>
      <c r="H61" s="23">
        <f>SUM(H59:H60)</f>
        <v>0.49999999999999994</v>
      </c>
      <c r="J61" s="69"/>
      <c r="K61" s="69"/>
      <c r="L61" s="69"/>
      <c r="M61" s="69"/>
      <c r="N61" s="69"/>
      <c r="O61" s="69"/>
      <c r="P61" s="69"/>
      <c r="Q61" s="69"/>
      <c r="R61" s="69"/>
    </row>
    <row r="62" spans="2:22" ht="15" customHeight="1" x14ac:dyDescent="0.25">
      <c r="F62" s="27"/>
      <c r="J62" s="69"/>
      <c r="K62" s="69"/>
      <c r="L62" s="69"/>
      <c r="M62" s="69"/>
      <c r="N62" s="69"/>
      <c r="O62" s="69"/>
      <c r="P62" s="69"/>
      <c r="Q62" s="69"/>
      <c r="R62" s="69"/>
    </row>
    <row r="63" spans="2:22" ht="15" customHeight="1" x14ac:dyDescent="0.25">
      <c r="D63" s="25" t="s">
        <v>47</v>
      </c>
      <c r="E63" s="26">
        <f>E56/(1-H59-H60)</f>
        <v>100</v>
      </c>
      <c r="F63" s="26"/>
      <c r="G63" s="27"/>
      <c r="J63" s="69"/>
      <c r="K63" s="69"/>
      <c r="L63" s="69"/>
      <c r="M63" s="69"/>
      <c r="N63" s="69"/>
      <c r="O63" s="69"/>
      <c r="P63" s="69"/>
      <c r="Q63" s="69"/>
      <c r="R63" s="69"/>
    </row>
    <row r="64" spans="2:22" ht="15" customHeight="1" x14ac:dyDescent="0.25">
      <c r="H64" s="70" t="str">
        <f>_xlfn.CONCAT("VARIAÇÃO DO VALOR CALCULADO PARA O CORRETO DE: R$ ",TEXT(R56-E63,"#.##0,00")) &amp; CHAR(10) &amp;
_xlfn.CONCAT("EQUIVALENTE A ",TEXT(R56/E63-1,"0,0%"))</f>
        <v>VARIAÇÃO DO VALOR CALCULADO PARA O CORRETO DE: R$ 0,00
EQUIVALENTE A 0,0%</v>
      </c>
      <c r="I64" s="70"/>
      <c r="J64" s="70"/>
      <c r="K64" s="70"/>
      <c r="L64" s="70"/>
      <c r="M64" s="70"/>
      <c r="N64" s="70"/>
      <c r="O64" s="70"/>
      <c r="P64" s="70"/>
      <c r="Q64" s="70"/>
      <c r="R64" s="70"/>
    </row>
    <row r="65" spans="4:18" ht="15" customHeight="1" x14ac:dyDescent="0.25">
      <c r="D65" s="1" t="s">
        <v>66</v>
      </c>
      <c r="E65" s="27">
        <f>E61+E56</f>
        <v>100</v>
      </c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</row>
    <row r="66" spans="4:18" ht="15" customHeight="1" x14ac:dyDescent="0.25">
      <c r="D66" s="35"/>
      <c r="E66" s="27"/>
    </row>
    <row r="67" spans="4:18" ht="15" customHeight="1" x14ac:dyDescent="0.25">
      <c r="E67" s="27"/>
    </row>
    <row r="68" spans="4:18" ht="15" customHeight="1" x14ac:dyDescent="0.25">
      <c r="E68" s="27"/>
    </row>
  </sheetData>
  <mergeCells count="10">
    <mergeCell ref="A2:E4"/>
    <mergeCell ref="I17:O22"/>
    <mergeCell ref="H23:O24"/>
    <mergeCell ref="B6:E8"/>
    <mergeCell ref="B28:E30"/>
    <mergeCell ref="J38:R43"/>
    <mergeCell ref="H44:R45"/>
    <mergeCell ref="B48:E50"/>
    <mergeCell ref="J58:R63"/>
    <mergeCell ref="H64:R65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BDDD1-99ED-441E-89EF-03D1AC293710}">
  <dimension ref="B1:X25"/>
  <sheetViews>
    <sheetView topLeftCell="D1" workbookViewId="0">
      <selection activeCell="T17" sqref="T17"/>
    </sheetView>
  </sheetViews>
  <sheetFormatPr defaultRowHeight="15" x14ac:dyDescent="0.25"/>
  <cols>
    <col min="3" max="3" width="20.7109375" bestFit="1" customWidth="1"/>
    <col min="4" max="7" width="18.5703125" style="39" customWidth="1"/>
    <col min="11" max="11" width="20.7109375" bestFit="1" customWidth="1"/>
    <col min="12" max="15" width="18.5703125" style="39" customWidth="1"/>
    <col min="19" max="19" width="20.7109375" bestFit="1" customWidth="1"/>
    <col min="20" max="23" width="18.5703125" style="39" customWidth="1"/>
  </cols>
  <sheetData>
    <row r="1" spans="2:24" x14ac:dyDescent="0.25">
      <c r="C1" t="s">
        <v>76</v>
      </c>
      <c r="D1" s="37">
        <v>1000000</v>
      </c>
      <c r="K1" t="s">
        <v>76</v>
      </c>
      <c r="L1" s="37">
        <f t="shared" ref="L1:L4" si="0">D1</f>
        <v>1000000</v>
      </c>
      <c r="S1" t="s">
        <v>76</v>
      </c>
      <c r="T1" s="37">
        <f t="shared" ref="T1:T4" si="1">L1</f>
        <v>1000000</v>
      </c>
    </row>
    <row r="2" spans="2:24" x14ac:dyDescent="0.25">
      <c r="C2" t="s">
        <v>77</v>
      </c>
      <c r="D2" s="40">
        <v>10</v>
      </c>
      <c r="K2" t="s">
        <v>77</v>
      </c>
      <c r="L2" s="40">
        <f t="shared" si="0"/>
        <v>10</v>
      </c>
      <c r="S2" t="s">
        <v>77</v>
      </c>
      <c r="T2" s="40">
        <f t="shared" si="1"/>
        <v>10</v>
      </c>
    </row>
    <row r="3" spans="2:24" x14ac:dyDescent="0.25">
      <c r="C3" t="s">
        <v>78</v>
      </c>
      <c r="D3" s="40">
        <v>4</v>
      </c>
      <c r="K3" t="s">
        <v>78</v>
      </c>
      <c r="L3" s="40">
        <f t="shared" si="0"/>
        <v>4</v>
      </c>
      <c r="S3" t="s">
        <v>78</v>
      </c>
      <c r="T3" s="40">
        <f t="shared" si="1"/>
        <v>4</v>
      </c>
    </row>
    <row r="4" spans="2:24" x14ac:dyDescent="0.25">
      <c r="C4" t="s">
        <v>98</v>
      </c>
      <c r="D4" s="38">
        <v>0.1</v>
      </c>
      <c r="K4" t="s">
        <v>98</v>
      </c>
      <c r="L4" s="38">
        <f t="shared" si="0"/>
        <v>0.1</v>
      </c>
      <c r="S4" t="s">
        <v>98</v>
      </c>
      <c r="T4" s="38">
        <f t="shared" si="1"/>
        <v>0.1</v>
      </c>
    </row>
    <row r="6" spans="2:24" ht="30" customHeight="1" x14ac:dyDescent="0.25">
      <c r="B6" s="41" t="s">
        <v>99</v>
      </c>
      <c r="C6" s="42"/>
      <c r="D6" s="43"/>
      <c r="E6" s="43"/>
      <c r="F6" s="43"/>
      <c r="G6" s="43"/>
      <c r="H6" s="42"/>
      <c r="J6" s="41" t="s">
        <v>101</v>
      </c>
      <c r="K6" s="42"/>
      <c r="L6" s="43"/>
      <c r="M6" s="43"/>
      <c r="N6" s="43"/>
      <c r="O6" s="43"/>
      <c r="P6" s="42"/>
      <c r="R6" s="41" t="s">
        <v>106</v>
      </c>
      <c r="S6" s="42"/>
      <c r="T6" s="43"/>
      <c r="U6" s="43"/>
      <c r="V6" s="43"/>
      <c r="W6" s="43"/>
      <c r="X6" s="42"/>
    </row>
    <row r="8" spans="2:24" x14ac:dyDescent="0.25">
      <c r="C8" t="s">
        <v>78</v>
      </c>
      <c r="D8" s="39" t="s">
        <v>76</v>
      </c>
      <c r="E8" s="39" t="s">
        <v>79</v>
      </c>
      <c r="F8" s="39" t="s">
        <v>80</v>
      </c>
      <c r="G8" s="39" t="s">
        <v>81</v>
      </c>
      <c r="K8" t="s">
        <v>78</v>
      </c>
      <c r="L8" s="39" t="s">
        <v>76</v>
      </c>
      <c r="M8" s="39" t="s">
        <v>79</v>
      </c>
      <c r="N8" s="39" t="s">
        <v>80</v>
      </c>
      <c r="O8" s="39" t="s">
        <v>81</v>
      </c>
      <c r="S8" t="s">
        <v>78</v>
      </c>
      <c r="T8" s="39" t="s">
        <v>76</v>
      </c>
      <c r="U8" s="39" t="s">
        <v>79</v>
      </c>
      <c r="V8" s="39" t="s">
        <v>80</v>
      </c>
      <c r="W8" s="39" t="s">
        <v>81</v>
      </c>
    </row>
    <row r="9" spans="2:24" x14ac:dyDescent="0.25">
      <c r="C9" s="46">
        <f>D3</f>
        <v>4</v>
      </c>
      <c r="D9" s="39" cm="1">
        <f t="array" ref="D9">_xlfn.XLOOKUP($C$9,_xlfn.ANCHORARRAY($C$15),_xlfn.ANCHORARRAY(D$15))</f>
        <v>700000</v>
      </c>
      <c r="E9" s="39" cm="1">
        <f t="array" ref="E9">_xlfn.XLOOKUP($C$9,_xlfn.ANCHORARRAY($C$15),_xlfn.ANCHORARRAY(E$15))</f>
        <v>100000</v>
      </c>
      <c r="F9" s="39" cm="1">
        <f t="array" ref="F9">_xlfn.XLOOKUP($C$9,_xlfn.ANCHORARRAY($C$15),_xlfn.ANCHORARRAY(F$15))</f>
        <v>70000</v>
      </c>
      <c r="G9" s="39" cm="1">
        <f t="array" ref="G9">_xlfn.XLOOKUP($C$9,_xlfn.ANCHORARRAY($C$15),_xlfn.ANCHORARRAY(G$15))</f>
        <v>170000</v>
      </c>
      <c r="K9" s="46">
        <f>L3</f>
        <v>4</v>
      </c>
      <c r="L9" s="39" cm="1">
        <f t="array" ref="L9">SAC.SALDO.BUSCAR(L1,L2,L3)</f>
        <v>700000</v>
      </c>
      <c r="M9" s="39" cm="1">
        <f t="array" ref="M9">SAC.AMORTIZACAO.BUSCAR(L1,L2)</f>
        <v>100000</v>
      </c>
      <c r="N9" s="39" cm="1">
        <f t="array" ref="N9">SAC.JUROS.BUSCAR(L1,L2,L4,L3)</f>
        <v>70000</v>
      </c>
      <c r="O9" s="39" cm="1">
        <f t="array" ref="O9">SAC.PARCELA.BUSCAR(L1,L2,L4,L3)</f>
        <v>170000</v>
      </c>
      <c r="S9" s="46">
        <f>T3</f>
        <v>4</v>
      </c>
      <c r="T9" s="39" cm="1">
        <f t="array" ref="T9">SAC.SALDO.BUSCAR(T1,T2,T3)</f>
        <v>700000</v>
      </c>
      <c r="U9" s="39" cm="1">
        <f t="array" ref="U9">SAC.AMORTIZACAO.BUSCAR(T1,T2)</f>
        <v>100000</v>
      </c>
      <c r="V9" s="39" cm="1">
        <f t="array" ref="V9">SAC.JUROS.BUSCAR(T1,T2,T4,T3)</f>
        <v>70000</v>
      </c>
      <c r="W9" s="39" cm="1">
        <f t="array" ref="W9">SAC.PARCELA.BUSCAR(T1,T2,T4,T3)</f>
        <v>170000</v>
      </c>
    </row>
    <row r="11" spans="2:24" x14ac:dyDescent="0.25">
      <c r="D11" s="39" t="s">
        <v>76</v>
      </c>
      <c r="E11" s="39" t="s">
        <v>79</v>
      </c>
      <c r="F11" s="39" t="s">
        <v>80</v>
      </c>
      <c r="G11" s="39" t="s">
        <v>81</v>
      </c>
      <c r="L11" s="39" t="s">
        <v>76</v>
      </c>
      <c r="M11" s="39" t="s">
        <v>79</v>
      </c>
      <c r="N11" s="39" t="s">
        <v>80</v>
      </c>
      <c r="O11" s="39" t="s">
        <v>81</v>
      </c>
      <c r="T11" s="39" t="s">
        <v>76</v>
      </c>
      <c r="U11" s="39" t="s">
        <v>79</v>
      </c>
      <c r="V11" s="39" t="s">
        <v>80</v>
      </c>
      <c r="W11" s="39" t="s">
        <v>81</v>
      </c>
    </row>
    <row r="12" spans="2:24" x14ac:dyDescent="0.25">
      <c r="C12" t="s">
        <v>105</v>
      </c>
      <c r="D12" s="39">
        <f>D15</f>
        <v>1000000</v>
      </c>
      <c r="E12" s="39">
        <f>SUM(_xlfn.ANCHORARRAY(E15))</f>
        <v>1000000</v>
      </c>
      <c r="F12" s="39">
        <f>SUM(_xlfn.ANCHORARRAY(F15))</f>
        <v>550000</v>
      </c>
      <c r="G12" s="39">
        <f>SUM(_xlfn.ANCHORARRAY(G15))</f>
        <v>1550000</v>
      </c>
      <c r="K12" t="s">
        <v>105</v>
      </c>
      <c r="L12" s="39" t="s">
        <v>107</v>
      </c>
      <c r="M12" s="39" t="s">
        <v>107</v>
      </c>
      <c r="N12" s="39" cm="1">
        <f t="array" ref="N12">SAC.JUROS.TOTAL(L1,L2,L4)</f>
        <v>550000</v>
      </c>
      <c r="O12" s="39" cm="1">
        <f t="array" ref="O12">SAC.PARCELA.TOTAL(L1,L2,L4)</f>
        <v>1550000</v>
      </c>
      <c r="S12" t="s">
        <v>105</v>
      </c>
      <c r="T12" s="39" t="s">
        <v>107</v>
      </c>
      <c r="U12" s="39" t="s">
        <v>107</v>
      </c>
      <c r="V12" s="39" cm="1">
        <f t="array" ref="V12">SAC.JUROS.TOTAL(T1,T2,T4)</f>
        <v>550000</v>
      </c>
      <c r="W12" s="39" cm="1">
        <f t="array" ref="W12">SAC.PARCELA.TOTAL(T1,T2,T4)</f>
        <v>1550000</v>
      </c>
    </row>
    <row r="13" spans="2:24" x14ac:dyDescent="0.25">
      <c r="L13" s="39" t="s">
        <v>145</v>
      </c>
      <c r="T13" s="39" t="s">
        <v>145</v>
      </c>
    </row>
    <row r="14" spans="2:24" x14ac:dyDescent="0.25">
      <c r="C14" s="44" t="s">
        <v>100</v>
      </c>
      <c r="D14" s="45" t="s">
        <v>76</v>
      </c>
      <c r="E14" s="45" t="s">
        <v>79</v>
      </c>
      <c r="F14" s="45" t="s">
        <v>80</v>
      </c>
      <c r="G14" s="45" t="s">
        <v>81</v>
      </c>
      <c r="K14" s="44" t="s">
        <v>100</v>
      </c>
      <c r="L14" s="45" t="s">
        <v>76</v>
      </c>
      <c r="M14" s="45" t="s">
        <v>79</v>
      </c>
      <c r="N14" s="45" t="s">
        <v>80</v>
      </c>
      <c r="O14" s="45" t="s">
        <v>81</v>
      </c>
      <c r="S14" s="44" t="str" cm="1">
        <f t="array" ref="S14:W24">SAC.TABELA.COMPLETA(T1,T2,T4)</f>
        <v>PERIODO</v>
      </c>
      <c r="T14" s="45" t="str">
        <v>SALDO DEVEDOR</v>
      </c>
      <c r="U14" s="45" t="str">
        <v>AMORT</v>
      </c>
      <c r="V14" s="45" t="str">
        <v>JUROS</v>
      </c>
      <c r="W14" s="45" t="str">
        <v>PARCELA</v>
      </c>
    </row>
    <row r="15" spans="2:24" x14ac:dyDescent="0.25">
      <c r="C15" cm="1">
        <f t="array" ref="C15:C25">_xlfn.SEQUENCE(D2+1,,0)</f>
        <v>0</v>
      </c>
      <c r="D15" s="39" cm="1">
        <f t="array" ref="D15:D25">IF(_xlfn.ANCHORARRAY(C15)=0,D1,D1-(D1/D2*(_xlfn.ANCHORARRAY(C15)-1)))</f>
        <v>1000000</v>
      </c>
      <c r="E15" s="39" cm="1">
        <f t="array" ref="E15:E25">IF(_xlfn.ANCHORARRAY(C15)=0,0,(D1/D2))</f>
        <v>0</v>
      </c>
      <c r="F15" s="39" cm="1">
        <f t="array" ref="F15:F25">IF(_xlfn.ANCHORARRAY(C15)=0,0,((D1-(D1/D2*(_xlfn.ANCHORARRAY(C15)-1)))*D4))</f>
        <v>0</v>
      </c>
      <c r="G15" s="39" cm="1">
        <f t="array" ref="G15:G25">_xlfn.ANCHORARRAY(E15)+_xlfn.ANCHORARRAY(F15)</f>
        <v>0</v>
      </c>
      <c r="K15" cm="1">
        <f t="array" ref="K15:K24">SAC.TABELA.PERIODOS(L2)</f>
        <v>1</v>
      </c>
      <c r="L15" s="39" cm="1">
        <f t="array" ref="L15:L24">SAC.TABELA.SALDO(L1,L2)</f>
        <v>1000000</v>
      </c>
      <c r="M15" s="39" cm="1">
        <f t="array" ref="M15:M24">SAC.TABELA.AMORTIZACAO(L1,L2)</f>
        <v>100000</v>
      </c>
      <c r="N15" s="39" cm="1">
        <f t="array" ref="N15:N24">SAC.TABELA.JUROS(L1,L2,L4)</f>
        <v>100000</v>
      </c>
      <c r="O15" s="39" cm="1">
        <f t="array" ref="O15:O24">SAC.TABELA.PARCELAS(L1,L2,L4)</f>
        <v>200000</v>
      </c>
      <c r="S15">
        <v>1</v>
      </c>
      <c r="T15" s="39">
        <v>1000000</v>
      </c>
      <c r="U15" s="39">
        <v>100000</v>
      </c>
      <c r="V15" s="39">
        <v>100000</v>
      </c>
      <c r="W15" s="39">
        <v>200000</v>
      </c>
    </row>
    <row r="16" spans="2:24" x14ac:dyDescent="0.25">
      <c r="C16">
        <v>1</v>
      </c>
      <c r="D16" s="39">
        <v>1000000</v>
      </c>
      <c r="E16" s="39">
        <v>100000</v>
      </c>
      <c r="F16" s="39">
        <v>100000</v>
      </c>
      <c r="G16" s="39">
        <v>200000</v>
      </c>
      <c r="K16">
        <v>2</v>
      </c>
      <c r="L16" s="39">
        <v>900000</v>
      </c>
      <c r="M16" s="39">
        <v>100000</v>
      </c>
      <c r="N16" s="39">
        <v>90000</v>
      </c>
      <c r="O16" s="39">
        <v>190000</v>
      </c>
      <c r="S16">
        <v>2</v>
      </c>
      <c r="T16" s="39">
        <v>900000</v>
      </c>
      <c r="U16" s="39">
        <v>100000</v>
      </c>
      <c r="V16" s="39">
        <v>90000</v>
      </c>
      <c r="W16" s="39">
        <v>190000</v>
      </c>
    </row>
    <row r="17" spans="3:23" x14ac:dyDescent="0.25">
      <c r="C17">
        <v>2</v>
      </c>
      <c r="D17" s="39">
        <v>900000</v>
      </c>
      <c r="E17" s="39">
        <v>100000</v>
      </c>
      <c r="F17" s="39">
        <v>90000</v>
      </c>
      <c r="G17" s="39">
        <v>190000</v>
      </c>
      <c r="K17">
        <v>3</v>
      </c>
      <c r="L17" s="39">
        <v>800000</v>
      </c>
      <c r="M17" s="39">
        <v>100000</v>
      </c>
      <c r="N17" s="39">
        <v>80000</v>
      </c>
      <c r="O17" s="39">
        <v>180000</v>
      </c>
      <c r="S17">
        <v>3</v>
      </c>
      <c r="T17" s="39">
        <v>800000</v>
      </c>
      <c r="U17" s="39">
        <v>100000</v>
      </c>
      <c r="V17" s="39">
        <v>80000</v>
      </c>
      <c r="W17" s="39">
        <v>180000</v>
      </c>
    </row>
    <row r="18" spans="3:23" x14ac:dyDescent="0.25">
      <c r="C18">
        <v>3</v>
      </c>
      <c r="D18" s="39">
        <v>800000</v>
      </c>
      <c r="E18" s="39">
        <v>100000</v>
      </c>
      <c r="F18" s="39">
        <v>80000</v>
      </c>
      <c r="G18" s="39">
        <v>180000</v>
      </c>
      <c r="K18">
        <v>4</v>
      </c>
      <c r="L18" s="39">
        <v>700000</v>
      </c>
      <c r="M18" s="39">
        <v>100000</v>
      </c>
      <c r="N18" s="39">
        <v>70000</v>
      </c>
      <c r="O18" s="39">
        <v>170000</v>
      </c>
      <c r="S18">
        <v>4</v>
      </c>
      <c r="T18" s="39">
        <v>700000</v>
      </c>
      <c r="U18" s="39">
        <v>100000</v>
      </c>
      <c r="V18" s="39">
        <v>70000</v>
      </c>
      <c r="W18" s="39">
        <v>170000</v>
      </c>
    </row>
    <row r="19" spans="3:23" x14ac:dyDescent="0.25">
      <c r="C19">
        <v>4</v>
      </c>
      <c r="D19" s="39">
        <v>700000</v>
      </c>
      <c r="E19" s="39">
        <v>100000</v>
      </c>
      <c r="F19" s="39">
        <v>70000</v>
      </c>
      <c r="G19" s="39">
        <v>170000</v>
      </c>
      <c r="K19">
        <v>5</v>
      </c>
      <c r="L19" s="39">
        <v>600000</v>
      </c>
      <c r="M19" s="39">
        <v>100000</v>
      </c>
      <c r="N19" s="39">
        <v>60000</v>
      </c>
      <c r="O19" s="39">
        <v>160000</v>
      </c>
      <c r="S19">
        <v>5</v>
      </c>
      <c r="T19" s="39">
        <v>600000</v>
      </c>
      <c r="U19" s="39">
        <v>100000</v>
      </c>
      <c r="V19" s="39">
        <v>60000</v>
      </c>
      <c r="W19" s="39">
        <v>160000</v>
      </c>
    </row>
    <row r="20" spans="3:23" x14ac:dyDescent="0.25">
      <c r="C20">
        <v>5</v>
      </c>
      <c r="D20" s="39">
        <v>600000</v>
      </c>
      <c r="E20" s="39">
        <v>100000</v>
      </c>
      <c r="F20" s="39">
        <v>60000</v>
      </c>
      <c r="G20" s="39">
        <v>160000</v>
      </c>
      <c r="K20">
        <v>6</v>
      </c>
      <c r="L20" s="39">
        <v>500000</v>
      </c>
      <c r="M20" s="39">
        <v>100000</v>
      </c>
      <c r="N20" s="39">
        <v>50000</v>
      </c>
      <c r="O20" s="39">
        <v>150000</v>
      </c>
      <c r="S20">
        <v>6</v>
      </c>
      <c r="T20" s="39">
        <v>500000</v>
      </c>
      <c r="U20" s="39">
        <v>100000</v>
      </c>
      <c r="V20" s="39">
        <v>50000</v>
      </c>
      <c r="W20" s="39">
        <v>150000</v>
      </c>
    </row>
    <row r="21" spans="3:23" x14ac:dyDescent="0.25">
      <c r="C21">
        <v>6</v>
      </c>
      <c r="D21" s="39">
        <v>500000</v>
      </c>
      <c r="E21" s="39">
        <v>100000</v>
      </c>
      <c r="F21" s="39">
        <v>50000</v>
      </c>
      <c r="G21" s="39">
        <v>150000</v>
      </c>
      <c r="K21">
        <v>7</v>
      </c>
      <c r="L21" s="39">
        <v>400000</v>
      </c>
      <c r="M21" s="39">
        <v>100000</v>
      </c>
      <c r="N21" s="39">
        <v>40000</v>
      </c>
      <c r="O21" s="39">
        <v>140000</v>
      </c>
      <c r="S21">
        <v>7</v>
      </c>
      <c r="T21" s="39">
        <v>400000</v>
      </c>
      <c r="U21" s="39">
        <v>100000</v>
      </c>
      <c r="V21" s="39">
        <v>40000</v>
      </c>
      <c r="W21" s="39">
        <v>140000</v>
      </c>
    </row>
    <row r="22" spans="3:23" x14ac:dyDescent="0.25">
      <c r="C22">
        <v>7</v>
      </c>
      <c r="D22" s="39">
        <v>400000</v>
      </c>
      <c r="E22" s="39">
        <v>100000</v>
      </c>
      <c r="F22" s="39">
        <v>40000</v>
      </c>
      <c r="G22" s="39">
        <v>140000</v>
      </c>
      <c r="K22">
        <v>8</v>
      </c>
      <c r="L22" s="39">
        <v>300000</v>
      </c>
      <c r="M22" s="39">
        <v>100000</v>
      </c>
      <c r="N22" s="39">
        <v>30000</v>
      </c>
      <c r="O22" s="39">
        <v>130000</v>
      </c>
      <c r="S22">
        <v>8</v>
      </c>
      <c r="T22" s="39">
        <v>300000</v>
      </c>
      <c r="U22" s="39">
        <v>100000</v>
      </c>
      <c r="V22" s="39">
        <v>30000</v>
      </c>
      <c r="W22" s="39">
        <v>130000</v>
      </c>
    </row>
    <row r="23" spans="3:23" x14ac:dyDescent="0.25">
      <c r="C23">
        <v>8</v>
      </c>
      <c r="D23" s="39">
        <v>300000</v>
      </c>
      <c r="E23" s="39">
        <v>100000</v>
      </c>
      <c r="F23" s="39">
        <v>30000</v>
      </c>
      <c r="G23" s="39">
        <v>130000</v>
      </c>
      <c r="K23">
        <v>9</v>
      </c>
      <c r="L23" s="39">
        <v>200000</v>
      </c>
      <c r="M23" s="39">
        <v>100000</v>
      </c>
      <c r="N23" s="39">
        <v>20000</v>
      </c>
      <c r="O23" s="39">
        <v>120000</v>
      </c>
      <c r="S23">
        <v>9</v>
      </c>
      <c r="T23" s="39">
        <v>200000</v>
      </c>
      <c r="U23" s="39">
        <v>100000</v>
      </c>
      <c r="V23" s="39">
        <v>20000</v>
      </c>
      <c r="W23" s="39">
        <v>120000</v>
      </c>
    </row>
    <row r="24" spans="3:23" x14ac:dyDescent="0.25">
      <c r="C24">
        <v>9</v>
      </c>
      <c r="D24" s="39">
        <v>200000</v>
      </c>
      <c r="E24" s="39">
        <v>100000</v>
      </c>
      <c r="F24" s="39">
        <v>20000</v>
      </c>
      <c r="G24" s="39">
        <v>120000</v>
      </c>
      <c r="K24">
        <v>10</v>
      </c>
      <c r="L24" s="39">
        <v>100000</v>
      </c>
      <c r="M24" s="39">
        <v>100000</v>
      </c>
      <c r="N24" s="39">
        <v>10000</v>
      </c>
      <c r="O24" s="39">
        <v>110000</v>
      </c>
      <c r="S24">
        <v>10</v>
      </c>
      <c r="T24" s="39">
        <v>100000</v>
      </c>
      <c r="U24" s="39">
        <v>100000</v>
      </c>
      <c r="V24" s="39">
        <v>10000</v>
      </c>
      <c r="W24" s="39">
        <v>110000</v>
      </c>
    </row>
    <row r="25" spans="3:23" x14ac:dyDescent="0.25">
      <c r="C25">
        <v>10</v>
      </c>
      <c r="D25" s="39">
        <v>100000</v>
      </c>
      <c r="E25" s="39">
        <v>100000</v>
      </c>
      <c r="F25" s="39">
        <v>10000</v>
      </c>
      <c r="G25" s="39">
        <v>110000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EDAB1-FD55-4688-AFA8-971EDA9E0E74}">
  <dimension ref="B1:X25"/>
  <sheetViews>
    <sheetView workbookViewId="0">
      <selection activeCell="C31" sqref="C31"/>
    </sheetView>
  </sheetViews>
  <sheetFormatPr defaultRowHeight="15" x14ac:dyDescent="0.25"/>
  <cols>
    <col min="3" max="3" width="20.7109375" bestFit="1" customWidth="1"/>
    <col min="4" max="7" width="18.5703125" style="39" customWidth="1"/>
    <col min="11" max="11" width="20.7109375" bestFit="1" customWidth="1"/>
    <col min="12" max="15" width="18.5703125" style="39" customWidth="1"/>
    <col min="19" max="19" width="20.7109375" bestFit="1" customWidth="1"/>
    <col min="20" max="23" width="18.5703125" style="39" customWidth="1"/>
  </cols>
  <sheetData>
    <row r="1" spans="2:24" x14ac:dyDescent="0.25">
      <c r="C1" t="s">
        <v>76</v>
      </c>
      <c r="D1" s="37">
        <v>1000000</v>
      </c>
      <c r="K1" t="s">
        <v>76</v>
      </c>
      <c r="L1" s="37">
        <f t="shared" ref="L1:L4" si="0">D1</f>
        <v>1000000</v>
      </c>
      <c r="S1" t="s">
        <v>76</v>
      </c>
      <c r="T1" s="37">
        <f t="shared" ref="T1:T4" si="1">L1</f>
        <v>1000000</v>
      </c>
    </row>
    <row r="2" spans="2:24" x14ac:dyDescent="0.25">
      <c r="C2" t="s">
        <v>77</v>
      </c>
      <c r="D2" s="40">
        <v>10</v>
      </c>
      <c r="K2" t="s">
        <v>77</v>
      </c>
      <c r="L2" s="40">
        <f t="shared" si="0"/>
        <v>10</v>
      </c>
      <c r="S2" t="s">
        <v>77</v>
      </c>
      <c r="T2" s="40">
        <f t="shared" si="1"/>
        <v>10</v>
      </c>
    </row>
    <row r="3" spans="2:24" x14ac:dyDescent="0.25">
      <c r="C3" t="s">
        <v>78</v>
      </c>
      <c r="D3" s="40">
        <v>4</v>
      </c>
      <c r="K3" t="s">
        <v>78</v>
      </c>
      <c r="L3" s="40">
        <f t="shared" si="0"/>
        <v>4</v>
      </c>
      <c r="S3" t="s">
        <v>78</v>
      </c>
      <c r="T3" s="40">
        <f t="shared" si="1"/>
        <v>4</v>
      </c>
    </row>
    <row r="4" spans="2:24" x14ac:dyDescent="0.25">
      <c r="C4" t="s">
        <v>98</v>
      </c>
      <c r="D4" s="38">
        <v>0.1</v>
      </c>
      <c r="K4" t="s">
        <v>98</v>
      </c>
      <c r="L4" s="38">
        <f t="shared" si="0"/>
        <v>0.1</v>
      </c>
      <c r="S4" t="s">
        <v>98</v>
      </c>
      <c r="T4" s="38">
        <f t="shared" si="1"/>
        <v>0.1</v>
      </c>
    </row>
    <row r="6" spans="2:24" ht="30" customHeight="1" x14ac:dyDescent="0.25">
      <c r="B6" s="41" t="s">
        <v>99</v>
      </c>
      <c r="C6" s="42"/>
      <c r="D6" s="43"/>
      <c r="E6" s="43"/>
      <c r="F6" s="43"/>
      <c r="G6" s="43"/>
      <c r="H6" s="42"/>
      <c r="J6" s="41" t="s">
        <v>101</v>
      </c>
      <c r="K6" s="42"/>
      <c r="L6" s="43"/>
      <c r="M6" s="43"/>
      <c r="N6" s="43"/>
      <c r="O6" s="43"/>
      <c r="P6" s="42"/>
      <c r="R6" s="41" t="s">
        <v>106</v>
      </c>
      <c r="S6" s="42"/>
      <c r="T6" s="43"/>
      <c r="U6" s="43"/>
      <c r="V6" s="43"/>
      <c r="W6" s="43"/>
      <c r="X6" s="42"/>
    </row>
    <row r="8" spans="2:24" x14ac:dyDescent="0.25">
      <c r="C8" t="s">
        <v>78</v>
      </c>
      <c r="D8" s="39" t="s">
        <v>76</v>
      </c>
      <c r="E8" s="39" t="s">
        <v>79</v>
      </c>
      <c r="F8" s="39" t="s">
        <v>80</v>
      </c>
      <c r="G8" s="39" t="s">
        <v>81</v>
      </c>
      <c r="K8" t="s">
        <v>78</v>
      </c>
      <c r="L8" s="39" t="s">
        <v>76</v>
      </c>
      <c r="M8" s="39" t="s">
        <v>79</v>
      </c>
      <c r="N8" s="39" t="s">
        <v>80</v>
      </c>
      <c r="O8" s="39" t="s">
        <v>81</v>
      </c>
      <c r="S8" t="s">
        <v>78</v>
      </c>
      <c r="T8" s="39" t="s">
        <v>76</v>
      </c>
      <c r="U8" s="39" t="s">
        <v>79</v>
      </c>
      <c r="V8" s="39" t="s">
        <v>80</v>
      </c>
      <c r="W8" s="39" t="s">
        <v>81</v>
      </c>
    </row>
    <row r="9" spans="2:24" x14ac:dyDescent="0.25">
      <c r="C9" s="46">
        <f>D3</f>
        <v>4</v>
      </c>
      <c r="D9" s="39" cm="1">
        <f t="array" ref="D9">_xlfn.XLOOKUP($C$9,_xlfn.ANCHORARRAY($C$15),_xlfn.ANCHORARRAY(D$15))</f>
        <v>700000</v>
      </c>
      <c r="E9" s="39" cm="1">
        <f t="array" ref="E9">_xlfn.XLOOKUP($C$9,_xlfn.ANCHORARRAY($C$15),_xlfn.ANCHORARRAY(E$15))</f>
        <v>100000</v>
      </c>
      <c r="F9" s="39" cm="1">
        <f t="array" ref="F9">_xlfn.XLOOKUP($C$9,_xlfn.ANCHORARRAY($C$15),_xlfn.ANCHORARRAY(F$15))</f>
        <v>70000</v>
      </c>
      <c r="G9" s="39" cm="1">
        <f t="array" ref="G9">_xlfn.XLOOKUP($C$9,_xlfn.ANCHORARRAY($C$15),_xlfn.ANCHORARRAY(G$15))</f>
        <v>170000</v>
      </c>
      <c r="K9" s="46">
        <f>L3</f>
        <v>4</v>
      </c>
      <c r="L9" s="39" cm="1">
        <f t="array" ref="L9">SAC.SALDO.BUSCAR(L1,L2,L3)</f>
        <v>700000</v>
      </c>
      <c r="M9" s="39" cm="1">
        <f t="array" ref="M9">SAC.AMORTIZACAO.BUSCAR(L1,L2)</f>
        <v>100000</v>
      </c>
      <c r="N9" s="39" cm="1">
        <f t="array" ref="N9">SAC.JUROS.BUSCAR(L1,L2,L4,L3)</f>
        <v>70000</v>
      </c>
      <c r="O9" s="39" cm="1">
        <f t="array" ref="O9">SAC.PARCELA.BUSCAR(L1,L2,L4,L3)</f>
        <v>170000</v>
      </c>
      <c r="S9" s="46">
        <f>T3</f>
        <v>4</v>
      </c>
      <c r="T9" s="39" cm="1">
        <f t="array" ref="T9">SAC.SALDO.BUSCAR(T1,T2,T3)</f>
        <v>700000</v>
      </c>
      <c r="U9" s="39" cm="1">
        <f t="array" ref="U9">SAC.AMORTIZACAO.BUSCAR(T1,T2)</f>
        <v>100000</v>
      </c>
      <c r="V9" s="39" cm="1">
        <f t="array" ref="V9">SAC.JUROS.BUSCAR(T1,T2,T4,T3)</f>
        <v>70000</v>
      </c>
      <c r="W9" s="39" cm="1">
        <f t="array" ref="W9">SAC.PARCELA.BUSCAR(T1,T2,T4,T3)</f>
        <v>170000</v>
      </c>
    </row>
    <row r="11" spans="2:24" x14ac:dyDescent="0.25">
      <c r="D11" s="39" t="s">
        <v>76</v>
      </c>
      <c r="E11" s="39" t="s">
        <v>79</v>
      </c>
      <c r="F11" s="39" t="s">
        <v>80</v>
      </c>
      <c r="G11" s="39" t="s">
        <v>81</v>
      </c>
      <c r="L11" s="39" t="s">
        <v>76</v>
      </c>
      <c r="M11" s="39" t="s">
        <v>79</v>
      </c>
      <c r="N11" s="39" t="s">
        <v>80</v>
      </c>
      <c r="O11" s="39" t="s">
        <v>81</v>
      </c>
      <c r="T11" s="39" t="s">
        <v>76</v>
      </c>
      <c r="U11" s="39" t="s">
        <v>79</v>
      </c>
      <c r="V11" s="39" t="s">
        <v>80</v>
      </c>
      <c r="W11" s="39" t="s">
        <v>81</v>
      </c>
    </row>
    <row r="12" spans="2:24" x14ac:dyDescent="0.25">
      <c r="C12" t="s">
        <v>105</v>
      </c>
      <c r="D12" s="39">
        <f>D15</f>
        <v>1000000</v>
      </c>
      <c r="E12" s="39">
        <f>SUM(_xlfn.ANCHORARRAY(E15))</f>
        <v>1000000</v>
      </c>
      <c r="F12" s="39">
        <f>SUM(_xlfn.ANCHORARRAY(F15))</f>
        <v>550000</v>
      </c>
      <c r="G12" s="39">
        <f>SUM(_xlfn.ANCHORARRAY(G15))</f>
        <v>1550000</v>
      </c>
      <c r="K12" t="s">
        <v>105</v>
      </c>
      <c r="L12" s="39" t="s">
        <v>107</v>
      </c>
      <c r="M12" s="39" t="s">
        <v>107</v>
      </c>
      <c r="N12" s="39" cm="1">
        <f t="array" ref="N12">SAC.JUROS.TOTAL(L1,L2,L4)</f>
        <v>550000</v>
      </c>
      <c r="O12" s="39" cm="1">
        <f t="array" ref="O12">SAC.PARCELA.TOTAL(L1,L2,L4)</f>
        <v>1550000</v>
      </c>
      <c r="S12" t="s">
        <v>105</v>
      </c>
      <c r="T12" s="39" t="s">
        <v>107</v>
      </c>
      <c r="U12" s="39" t="s">
        <v>107</v>
      </c>
      <c r="V12" s="39" cm="1">
        <f t="array" ref="V12">SAC.JUROS.TOTAL(T1,T2,T4)</f>
        <v>550000</v>
      </c>
      <c r="W12" s="39" cm="1">
        <f t="array" ref="W12">SAC.PARCELA.TOTAL(T1,T2,T4)</f>
        <v>1550000</v>
      </c>
    </row>
    <row r="13" spans="2:24" x14ac:dyDescent="0.25">
      <c r="L13" s="39" t="s">
        <v>145</v>
      </c>
      <c r="T13" s="39" t="s">
        <v>145</v>
      </c>
    </row>
    <row r="14" spans="2:24" x14ac:dyDescent="0.25">
      <c r="C14" s="44" t="s">
        <v>100</v>
      </c>
      <c r="D14" s="45" t="s">
        <v>76</v>
      </c>
      <c r="E14" s="45" t="s">
        <v>79</v>
      </c>
      <c r="F14" s="45" t="s">
        <v>80</v>
      </c>
      <c r="G14" s="45" t="s">
        <v>81</v>
      </c>
      <c r="K14" s="44" t="s">
        <v>100</v>
      </c>
      <c r="L14" s="45" t="s">
        <v>76</v>
      </c>
      <c r="M14" s="45" t="s">
        <v>79</v>
      </c>
      <c r="N14" s="45" t="s">
        <v>80</v>
      </c>
      <c r="O14" s="45" t="s">
        <v>81</v>
      </c>
      <c r="S14" s="44" t="str" cm="1">
        <f t="array" ref="S14:W24">SAC.TABELA.COMPLETA(T1,T2,T4)</f>
        <v>PERIODO</v>
      </c>
      <c r="T14" s="45" t="str">
        <v>SALDO DEVEDOR</v>
      </c>
      <c r="U14" s="45" t="str">
        <v>AMORT</v>
      </c>
      <c r="V14" s="45" t="str">
        <v>JUROS</v>
      </c>
      <c r="W14" s="45" t="str">
        <v>PARCELA</v>
      </c>
    </row>
    <row r="15" spans="2:24" x14ac:dyDescent="0.25">
      <c r="C15" cm="1">
        <f t="array" ref="C15:C25">_xlfn.SEQUENCE(D2+1,,0)</f>
        <v>0</v>
      </c>
      <c r="D15" s="39" cm="1">
        <f t="array" ref="D15:D25">IF(_xlfn.ANCHORARRAY(C15)=0,D1,D1-(D1/D2*(_xlfn.ANCHORARRAY(C15)-1)))</f>
        <v>1000000</v>
      </c>
      <c r="E15" s="39" cm="1">
        <f t="array" ref="E15:E25">IF(_xlfn.ANCHORARRAY(C15)=0,0,(D1/D2))</f>
        <v>0</v>
      </c>
      <c r="F15" s="39" cm="1">
        <f t="array" ref="F15:F25">IF(_xlfn.ANCHORARRAY(C15)=0,0,((D1-(D1/D2*(_xlfn.ANCHORARRAY(C15)-1)))*D4))</f>
        <v>0</v>
      </c>
      <c r="G15" s="39" cm="1">
        <f t="array" ref="G15:G25">_xlfn.ANCHORARRAY(E15)+_xlfn.ANCHORARRAY(F15)</f>
        <v>0</v>
      </c>
      <c r="K15" cm="1">
        <f t="array" ref="K15:K24">SAC.TABELA.PERIODOS(L2)</f>
        <v>1</v>
      </c>
      <c r="L15" s="39" cm="1">
        <f t="array" ref="L15:L24">SAC.TABELA.SALDO(L1,L2)</f>
        <v>1000000</v>
      </c>
      <c r="M15" s="39" cm="1">
        <f t="array" ref="M15:M24">SAC.TABELA.AMORTIZACAO(L1,L2)</f>
        <v>100000</v>
      </c>
      <c r="N15" s="39" cm="1">
        <f t="array" ref="N15:N24">SAC.TABELA.JUROS(L1,L2,L4)</f>
        <v>100000</v>
      </c>
      <c r="O15" s="39" cm="1">
        <f t="array" ref="O15:O24">SAC.TABELA.PARCELAS(L1,L2,L4)</f>
        <v>200000</v>
      </c>
      <c r="S15">
        <v>1</v>
      </c>
      <c r="T15" s="39">
        <v>1000000</v>
      </c>
      <c r="U15" s="39">
        <v>100000</v>
      </c>
      <c r="V15" s="39">
        <v>100000</v>
      </c>
      <c r="W15" s="39">
        <v>200000</v>
      </c>
    </row>
    <row r="16" spans="2:24" x14ac:dyDescent="0.25">
      <c r="C16">
        <v>1</v>
      </c>
      <c r="D16" s="39">
        <v>1000000</v>
      </c>
      <c r="E16" s="39">
        <v>100000</v>
      </c>
      <c r="F16" s="39">
        <v>100000</v>
      </c>
      <c r="G16" s="39">
        <v>200000</v>
      </c>
      <c r="K16">
        <v>2</v>
      </c>
      <c r="L16" s="39">
        <v>900000</v>
      </c>
      <c r="M16" s="39">
        <v>100000</v>
      </c>
      <c r="N16" s="39">
        <v>90000</v>
      </c>
      <c r="O16" s="39">
        <v>190000</v>
      </c>
      <c r="S16">
        <v>2</v>
      </c>
      <c r="T16" s="39">
        <v>900000</v>
      </c>
      <c r="U16" s="39">
        <v>100000</v>
      </c>
      <c r="V16" s="39">
        <v>90000</v>
      </c>
      <c r="W16" s="39">
        <v>190000</v>
      </c>
    </row>
    <row r="17" spans="3:23" x14ac:dyDescent="0.25">
      <c r="C17">
        <v>2</v>
      </c>
      <c r="D17" s="39">
        <v>900000</v>
      </c>
      <c r="E17" s="39">
        <v>100000</v>
      </c>
      <c r="F17" s="39">
        <v>90000</v>
      </c>
      <c r="G17" s="39">
        <v>190000</v>
      </c>
      <c r="K17">
        <v>3</v>
      </c>
      <c r="L17" s="39">
        <v>800000</v>
      </c>
      <c r="M17" s="39">
        <v>100000</v>
      </c>
      <c r="N17" s="39">
        <v>80000</v>
      </c>
      <c r="O17" s="39">
        <v>180000</v>
      </c>
      <c r="S17">
        <v>3</v>
      </c>
      <c r="T17" s="39">
        <v>800000</v>
      </c>
      <c r="U17" s="39">
        <v>100000</v>
      </c>
      <c r="V17" s="39">
        <v>80000</v>
      </c>
      <c r="W17" s="39">
        <v>180000</v>
      </c>
    </row>
    <row r="18" spans="3:23" x14ac:dyDescent="0.25">
      <c r="C18">
        <v>3</v>
      </c>
      <c r="D18" s="39">
        <v>800000</v>
      </c>
      <c r="E18" s="39">
        <v>100000</v>
      </c>
      <c r="F18" s="39">
        <v>80000</v>
      </c>
      <c r="G18" s="39">
        <v>180000</v>
      </c>
      <c r="K18">
        <v>4</v>
      </c>
      <c r="L18" s="39">
        <v>700000</v>
      </c>
      <c r="M18" s="39">
        <v>100000</v>
      </c>
      <c r="N18" s="39">
        <v>70000</v>
      </c>
      <c r="O18" s="39">
        <v>170000</v>
      </c>
      <c r="S18">
        <v>4</v>
      </c>
      <c r="T18" s="39">
        <v>700000</v>
      </c>
      <c r="U18" s="39">
        <v>100000</v>
      </c>
      <c r="V18" s="39">
        <v>70000</v>
      </c>
      <c r="W18" s="39">
        <v>170000</v>
      </c>
    </row>
    <row r="19" spans="3:23" x14ac:dyDescent="0.25">
      <c r="C19">
        <v>4</v>
      </c>
      <c r="D19" s="39">
        <v>700000</v>
      </c>
      <c r="E19" s="39">
        <v>100000</v>
      </c>
      <c r="F19" s="39">
        <v>70000</v>
      </c>
      <c r="G19" s="39">
        <v>170000</v>
      </c>
      <c r="K19">
        <v>5</v>
      </c>
      <c r="L19" s="39">
        <v>600000</v>
      </c>
      <c r="M19" s="39">
        <v>100000</v>
      </c>
      <c r="N19" s="39">
        <v>60000</v>
      </c>
      <c r="O19" s="39">
        <v>160000</v>
      </c>
      <c r="S19">
        <v>5</v>
      </c>
      <c r="T19" s="39">
        <v>600000</v>
      </c>
      <c r="U19" s="39">
        <v>100000</v>
      </c>
      <c r="V19" s="39">
        <v>60000</v>
      </c>
      <c r="W19" s="39">
        <v>160000</v>
      </c>
    </row>
    <row r="20" spans="3:23" x14ac:dyDescent="0.25">
      <c r="C20">
        <v>5</v>
      </c>
      <c r="D20" s="39">
        <v>600000</v>
      </c>
      <c r="E20" s="39">
        <v>100000</v>
      </c>
      <c r="F20" s="39">
        <v>60000</v>
      </c>
      <c r="G20" s="39">
        <v>160000</v>
      </c>
      <c r="K20">
        <v>6</v>
      </c>
      <c r="L20" s="39">
        <v>500000</v>
      </c>
      <c r="M20" s="39">
        <v>100000</v>
      </c>
      <c r="N20" s="39">
        <v>50000</v>
      </c>
      <c r="O20" s="39">
        <v>150000</v>
      </c>
      <c r="S20">
        <v>6</v>
      </c>
      <c r="T20" s="39">
        <v>500000</v>
      </c>
      <c r="U20" s="39">
        <v>100000</v>
      </c>
      <c r="V20" s="39">
        <v>50000</v>
      </c>
      <c r="W20" s="39">
        <v>150000</v>
      </c>
    </row>
    <row r="21" spans="3:23" x14ac:dyDescent="0.25">
      <c r="C21">
        <v>6</v>
      </c>
      <c r="D21" s="39">
        <v>500000</v>
      </c>
      <c r="E21" s="39">
        <v>100000</v>
      </c>
      <c r="F21" s="39">
        <v>50000</v>
      </c>
      <c r="G21" s="39">
        <v>150000</v>
      </c>
      <c r="K21">
        <v>7</v>
      </c>
      <c r="L21" s="39">
        <v>400000</v>
      </c>
      <c r="M21" s="39">
        <v>100000</v>
      </c>
      <c r="N21" s="39">
        <v>40000</v>
      </c>
      <c r="O21" s="39">
        <v>140000</v>
      </c>
      <c r="S21">
        <v>7</v>
      </c>
      <c r="T21" s="39">
        <v>400000</v>
      </c>
      <c r="U21" s="39">
        <v>100000</v>
      </c>
      <c r="V21" s="39">
        <v>40000</v>
      </c>
      <c r="W21" s="39">
        <v>140000</v>
      </c>
    </row>
    <row r="22" spans="3:23" x14ac:dyDescent="0.25">
      <c r="C22">
        <v>7</v>
      </c>
      <c r="D22" s="39">
        <v>400000</v>
      </c>
      <c r="E22" s="39">
        <v>100000</v>
      </c>
      <c r="F22" s="39">
        <v>40000</v>
      </c>
      <c r="G22" s="39">
        <v>140000</v>
      </c>
      <c r="K22">
        <v>8</v>
      </c>
      <c r="L22" s="39">
        <v>300000</v>
      </c>
      <c r="M22" s="39">
        <v>100000</v>
      </c>
      <c r="N22" s="39">
        <v>30000</v>
      </c>
      <c r="O22" s="39">
        <v>130000</v>
      </c>
      <c r="S22">
        <v>8</v>
      </c>
      <c r="T22" s="39">
        <v>300000</v>
      </c>
      <c r="U22" s="39">
        <v>100000</v>
      </c>
      <c r="V22" s="39">
        <v>30000</v>
      </c>
      <c r="W22" s="39">
        <v>130000</v>
      </c>
    </row>
    <row r="23" spans="3:23" x14ac:dyDescent="0.25">
      <c r="C23">
        <v>8</v>
      </c>
      <c r="D23" s="39">
        <v>300000</v>
      </c>
      <c r="E23" s="39">
        <v>100000</v>
      </c>
      <c r="F23" s="39">
        <v>30000</v>
      </c>
      <c r="G23" s="39">
        <v>130000</v>
      </c>
      <c r="K23">
        <v>9</v>
      </c>
      <c r="L23" s="39">
        <v>200000</v>
      </c>
      <c r="M23" s="39">
        <v>100000</v>
      </c>
      <c r="N23" s="39">
        <v>20000</v>
      </c>
      <c r="O23" s="39">
        <v>120000</v>
      </c>
      <c r="S23">
        <v>9</v>
      </c>
      <c r="T23" s="39">
        <v>200000</v>
      </c>
      <c r="U23" s="39">
        <v>100000</v>
      </c>
      <c r="V23" s="39">
        <v>20000</v>
      </c>
      <c r="W23" s="39">
        <v>120000</v>
      </c>
    </row>
    <row r="24" spans="3:23" x14ac:dyDescent="0.25">
      <c r="C24">
        <v>9</v>
      </c>
      <c r="D24" s="39">
        <v>200000</v>
      </c>
      <c r="E24" s="39">
        <v>100000</v>
      </c>
      <c r="F24" s="39">
        <v>20000</v>
      </c>
      <c r="G24" s="39">
        <v>120000</v>
      </c>
      <c r="K24">
        <v>10</v>
      </c>
      <c r="L24" s="39">
        <v>100000</v>
      </c>
      <c r="M24" s="39">
        <v>100000</v>
      </c>
      <c r="N24" s="39">
        <v>10000</v>
      </c>
      <c r="O24" s="39">
        <v>110000</v>
      </c>
      <c r="S24">
        <v>10</v>
      </c>
      <c r="T24" s="39">
        <v>100000</v>
      </c>
      <c r="U24" s="39">
        <v>100000</v>
      </c>
      <c r="V24" s="39">
        <v>10000</v>
      </c>
      <c r="W24" s="39">
        <v>110000</v>
      </c>
    </row>
    <row r="25" spans="3:23" x14ac:dyDescent="0.25">
      <c r="C25">
        <v>10</v>
      </c>
      <c r="D25" s="39">
        <v>100000</v>
      </c>
      <c r="E25" s="39">
        <v>100000</v>
      </c>
      <c r="F25" s="39">
        <v>10000</v>
      </c>
      <c r="G25" s="39">
        <v>110000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1C1FE-6170-41F6-B7F7-F233908698C2}">
  <dimension ref="A1:Z36"/>
  <sheetViews>
    <sheetView workbookViewId="0">
      <selection activeCell="H27" sqref="H27"/>
    </sheetView>
  </sheetViews>
  <sheetFormatPr defaultRowHeight="15" x14ac:dyDescent="0.25"/>
  <cols>
    <col min="1" max="1" width="11.5703125" style="48" bestFit="1" customWidth="1"/>
    <col min="2" max="2" width="13.42578125" style="49" bestFit="1" customWidth="1"/>
    <col min="3" max="3" width="11.7109375" style="49" bestFit="1" customWidth="1"/>
    <col min="4" max="4" width="11.5703125" style="49" bestFit="1" customWidth="1"/>
    <col min="5" max="5" width="11.7109375" style="49" bestFit="1" customWidth="1"/>
    <col min="6" max="6" width="9.140625" style="50"/>
    <col min="7" max="7" width="11.7109375" style="50" bestFit="1" customWidth="1"/>
    <col min="8" max="8" width="13.42578125" style="48" bestFit="1" customWidth="1"/>
    <col min="9" max="9" width="13.42578125" style="49" bestFit="1" customWidth="1"/>
    <col min="10" max="10" width="13.42578125" style="49" customWidth="1"/>
    <col min="11" max="12" width="11.7109375" style="49" bestFit="1" customWidth="1"/>
    <col min="13" max="13" width="13.28515625" style="50" bestFit="1" customWidth="1"/>
    <col min="14" max="14" width="14.28515625" style="52" bestFit="1" customWidth="1"/>
    <col min="15" max="15" width="13.5703125" style="60" bestFit="1" customWidth="1"/>
    <col min="16" max="16" width="13.28515625" style="60" bestFit="1" customWidth="1"/>
    <col min="17" max="17" width="18.28515625" style="60" bestFit="1" customWidth="1"/>
    <col min="18" max="18" width="8" style="60" bestFit="1" customWidth="1"/>
    <col min="19" max="19" width="14.28515625" style="60" bestFit="1" customWidth="1"/>
    <col min="20" max="20" width="9.140625" style="50"/>
    <col min="21" max="21" width="29.7109375" style="50" bestFit="1" customWidth="1"/>
    <col min="22" max="22" width="12.7109375" style="50" bestFit="1" customWidth="1"/>
    <col min="23" max="23" width="14.140625" style="59" bestFit="1" customWidth="1"/>
    <col min="24" max="26" width="12.42578125" style="50" bestFit="1" customWidth="1"/>
    <col min="27" max="16384" width="9.140625" style="50"/>
  </cols>
  <sheetData>
    <row r="1" spans="1:24" x14ac:dyDescent="0.25">
      <c r="H1" s="51" t="s">
        <v>122</v>
      </c>
      <c r="I1" s="49">
        <v>1000000</v>
      </c>
    </row>
    <row r="2" spans="1:24" x14ac:dyDescent="0.25">
      <c r="H2" s="51" t="s">
        <v>123</v>
      </c>
      <c r="I2" s="53">
        <v>0.15</v>
      </c>
    </row>
    <row r="3" spans="1:24" x14ac:dyDescent="0.25">
      <c r="H3" s="51" t="s">
        <v>124</v>
      </c>
      <c r="I3" s="48">
        <v>10</v>
      </c>
    </row>
    <row r="5" spans="1:24" x14ac:dyDescent="0.25">
      <c r="B5" s="49" t="s">
        <v>125</v>
      </c>
      <c r="I5" s="49" t="s">
        <v>125</v>
      </c>
      <c r="P5" s="61"/>
      <c r="U5" s="50" t="s">
        <v>126</v>
      </c>
      <c r="V5" s="54" t="e" cm="1" vm="1">
        <f t="array" ref="V5">_xlfn.LAMBDA(_xlpm.SALDO_DEVEDOR,_xlpm.TOTAL_PARCELAS,_xlpm.TAXA_DE_JUROS,PMT(_xlpm.TAXA_DE_JUROS,_xlpm.TOTAL_PARCELAS,-_xlpm.SALDO_DEVEDOR))</f>
        <v>#VALUE!</v>
      </c>
      <c r="W5" s="59" cm="1">
        <f t="array" ref="W5">PRICE.PARCELA.PRIMEIRA(I1,I3,I2)</f>
        <v>199252.0625175848</v>
      </c>
    </row>
    <row r="6" spans="1:24" x14ac:dyDescent="0.25">
      <c r="A6" s="48" t="s">
        <v>100</v>
      </c>
      <c r="B6" s="49" t="s">
        <v>127</v>
      </c>
      <c r="C6" s="49" t="s">
        <v>128</v>
      </c>
      <c r="D6" s="49" t="s">
        <v>80</v>
      </c>
      <c r="E6" s="49" t="s">
        <v>81</v>
      </c>
      <c r="H6" s="48" t="s">
        <v>100</v>
      </c>
      <c r="I6" s="49" t="s">
        <v>127</v>
      </c>
      <c r="J6" s="49" t="s">
        <v>128</v>
      </c>
      <c r="K6" s="49" t="s">
        <v>80</v>
      </c>
      <c r="L6" s="49" t="s">
        <v>81</v>
      </c>
      <c r="P6" s="61"/>
      <c r="U6" s="50" t="s">
        <v>129</v>
      </c>
      <c r="V6" s="54" t="e" cm="1" vm="1">
        <f t="array" ref="V6">_xlfn.LAMBDA(_xlpm.SALDO_DEVEDOR,_xlpm.TOTAL_PARCELAS,_xlpm.TAXA_DE_JUROS,PMT(_xlpm.TAXA_DE_JUROS,_xlpm.TOTAL_PARCELAS,-_xlpm.SALDO_DEVEDOR))</f>
        <v>#VALUE!</v>
      </c>
      <c r="W6" s="59" cm="1">
        <f t="array" ref="W6">PRICE.PARCELA.ULTIMA(I1,I3,I2)</f>
        <v>199252.0625175848</v>
      </c>
    </row>
    <row r="7" spans="1:24" x14ac:dyDescent="0.25">
      <c r="A7" s="48" cm="1">
        <f t="array" ref="A7:A17">_xlfn.SEQUENCE($I$3+1,,0)</f>
        <v>0</v>
      </c>
      <c r="B7" s="49" cm="1">
        <f t="array" ref="B7:B17">IF(_xlfn.ANCHORARRAY(A7)=0,$I$1,$I$1-((_xlfn.ANCHORARRAY(A7)-1)*($I$1/$I$3)))</f>
        <v>1000000</v>
      </c>
      <c r="C7" s="49" cm="1">
        <f t="array" ref="C7:C17">IF(_xlfn.ANCHORARRAY(A7)=0,0,$I$1/$I$3)</f>
        <v>0</v>
      </c>
      <c r="D7" s="49" cm="1">
        <f t="array" ref="D7:D17">IF(_xlfn.ANCHORARRAY(A7)=0,0,_xlfn.ANCHORARRAY(B7)*I2)</f>
        <v>0</v>
      </c>
      <c r="E7" s="49" cm="1">
        <f t="array" ref="E7:E17">_xlfn.ANCHORARRAY(C7)+_xlfn.ANCHORARRAY(D7)</f>
        <v>0</v>
      </c>
      <c r="H7" s="48" cm="1">
        <f t="array" ref="H7:H17">_xlfn.SEQUENCE($I$3+1,,0)</f>
        <v>0</v>
      </c>
      <c r="I7" s="49" cm="1">
        <f t="array" ref="I7:I17">IF(_xlfn.ANCHORARRAY(H7)=0,$I$1,)</f>
        <v>1000000</v>
      </c>
      <c r="J7" s="49" cm="1">
        <f t="array" ref="J7:J17">_xlfn.ANCHORARRAY(L7)-_xlfn.ANCHORARRAY(K7)</f>
        <v>0</v>
      </c>
      <c r="K7" s="49" cm="1">
        <f t="array" ref="K7:K17">IF(_xlfn.ANCHORARRAY(H7)=0,0,_xlfn.ANCHORARRAY(I7)*I2)</f>
        <v>0</v>
      </c>
      <c r="L7" s="49" cm="1">
        <f t="array" ref="L7:L17">IF(_xlfn.ANCHORARRAY(H7)=0,0,PMT(I2,I3,-I1))</f>
        <v>0</v>
      </c>
      <c r="P7" s="61"/>
      <c r="U7" s="50" t="s">
        <v>130</v>
      </c>
      <c r="V7" s="54" t="e" cm="1" vm="1">
        <f t="array" ref="V7">_xlfn.LAMBDA(_xlpm.SALDO_DEVEDOR,_xlpm.TOTAL_PARCELAS,_xlpm.TAXA_DE_JUROS,PMT(_xlpm.TAXA_DE_JUROS,_xlpm.TOTAL_PARCELAS,-_xlpm.SALDO_DEVEDOR)*_xlpm.TOTAL_PARCELAS)</f>
        <v>#VALUE!</v>
      </c>
      <c r="W7" s="59" cm="1">
        <f t="array" ref="W7">PRICE.PARCELA.TOTAL(I1,I3,I2)</f>
        <v>1992520.6251758479</v>
      </c>
    </row>
    <row r="8" spans="1:24" x14ac:dyDescent="0.25">
      <c r="A8" s="48">
        <v>1</v>
      </c>
      <c r="B8" s="49">
        <v>1000000</v>
      </c>
      <c r="C8" s="49">
        <v>100000</v>
      </c>
      <c r="D8" s="49">
        <v>150000</v>
      </c>
      <c r="E8" s="49">
        <v>250000</v>
      </c>
      <c r="H8" s="48">
        <v>1</v>
      </c>
      <c r="I8" s="49">
        <v>0</v>
      </c>
      <c r="J8" s="49">
        <v>199252.0625175848</v>
      </c>
      <c r="K8" s="49">
        <v>0</v>
      </c>
      <c r="L8" s="49">
        <v>199252.0625175848</v>
      </c>
      <c r="P8" s="61"/>
      <c r="U8" s="50" t="s">
        <v>131</v>
      </c>
      <c r="V8" s="54" t="e" cm="1" vm="1">
        <f t="array" ref="V8">_xlfn.LAMBDA(_xlpm.SALDO_DEVEDOR,_xlpm.TOTAL_PARCELAS,_xlpm.TAXA_DE_JUROS,_xlpm.SALDO_DEVEDOR-(PMT(_xlpm.TAXA_DE_JUROS,_xlpm.TOTAL_PARCELAS,-_xlpm.SALDO_DEVEDOR)*_xlpm.TOTAL_PARCELAS))</f>
        <v>#VALUE!</v>
      </c>
      <c r="W8" s="59" cm="1">
        <f t="array" ref="W8">PRICE.JUROS.TOTAL(I1,I3,I2)</f>
        <v>992520.6251758479</v>
      </c>
    </row>
    <row r="9" spans="1:24" x14ac:dyDescent="0.25">
      <c r="A9" s="48">
        <v>2</v>
      </c>
      <c r="B9" s="49">
        <v>900000</v>
      </c>
      <c r="C9" s="49">
        <v>100000</v>
      </c>
      <c r="D9" s="49">
        <v>135000</v>
      </c>
      <c r="E9" s="49">
        <v>235000</v>
      </c>
      <c r="H9" s="48">
        <v>2</v>
      </c>
      <c r="I9" s="49">
        <v>0</v>
      </c>
      <c r="J9" s="49">
        <v>199252.0625175848</v>
      </c>
      <c r="K9" s="49">
        <v>0</v>
      </c>
      <c r="L9" s="49">
        <v>199252.0625175848</v>
      </c>
      <c r="P9" s="61"/>
      <c r="U9" s="50" t="s">
        <v>132</v>
      </c>
      <c r="V9" s="54" t="e" cm="1" vm="1">
        <f t="array" ref="V9">_xlfn.LAMBDA(_xlpm.SALDO_DEVEDOR,_xlpm.TOTAL_PARCELAS,_xlpm.TAXA_DE_JUROS,_xlpm.SALDO_DEVEDOR*_xlpm.TAXA_DE_JUROS)</f>
        <v>#VALUE!</v>
      </c>
      <c r="W9" s="59" cm="1">
        <f t="array" ref="W9">PRICE.JUROS.PRIMEIRA(I1,I2)</f>
        <v>150000</v>
      </c>
    </row>
    <row r="10" spans="1:24" x14ac:dyDescent="0.25">
      <c r="A10" s="48">
        <v>3</v>
      </c>
      <c r="B10" s="49">
        <v>800000</v>
      </c>
      <c r="C10" s="49">
        <v>100000</v>
      </c>
      <c r="D10" s="49">
        <v>120000</v>
      </c>
      <c r="E10" s="49">
        <v>220000</v>
      </c>
      <c r="H10" s="48">
        <v>3</v>
      </c>
      <c r="I10" s="49">
        <v>0</v>
      </c>
      <c r="J10" s="49">
        <v>199252.0625175848</v>
      </c>
      <c r="K10" s="49">
        <v>0</v>
      </c>
      <c r="L10" s="49">
        <v>199252.0625175848</v>
      </c>
      <c r="P10" s="61"/>
      <c r="U10" s="50" t="s">
        <v>133</v>
      </c>
      <c r="V10" s="50" t="e" cm="1" vm="1">
        <f t="array" ref="V10">_xlfn.LAMBDA(_xlpm.SALDO_DEVEDOR,_xlpm.TOTAL_PARCELAS,_xlpm.PARCELA_PROCURADA,_xlpm.TAXA_DE_JUROS,
    IF(_xlpm.PARCELA_PROCURADA&lt;2,
        _xlpm.SALDO_DEVEDOR,
        _xlpm.SALDO_DEVEDOR-SUM(FV(_xlpm.TAXA_DE_JUROS,_xlfn.SEQUENCE(_xlpm.PARCELA_PROCURADA-1)-1,,-(PMT(_xlpm.TAXA_DE_JUROS,_xlpm.TOTAL_PARCELAS,-_xlpm.SALDO_DEVEDOR)-(_xlpm.SALDO_DEVEDOR*_xlpm.TAXA_DE_JUROS)))))*_xlpm.TAXA_DE_JUROS)</f>
        <v>#VALUE!</v>
      </c>
      <c r="W10" s="59" cm="1">
        <f t="array" ref="W10">PRICE.JUROS.BUSCAR(I1,I3,H24,I2)</f>
        <v>134116.20983807888</v>
      </c>
    </row>
    <row r="11" spans="1:24" x14ac:dyDescent="0.25">
      <c r="A11" s="48">
        <v>4</v>
      </c>
      <c r="B11" s="49">
        <v>700000</v>
      </c>
      <c r="C11" s="49">
        <v>100000</v>
      </c>
      <c r="D11" s="49">
        <v>105000</v>
      </c>
      <c r="E11" s="49">
        <v>205000</v>
      </c>
      <c r="H11" s="48">
        <v>4</v>
      </c>
      <c r="I11" s="49">
        <v>0</v>
      </c>
      <c r="J11" s="49">
        <v>199252.0625175848</v>
      </c>
      <c r="K11" s="49">
        <v>0</v>
      </c>
      <c r="L11" s="49">
        <v>199252.0625175848</v>
      </c>
      <c r="P11" s="61"/>
      <c r="U11" s="50" t="s">
        <v>134</v>
      </c>
      <c r="V11" s="50" t="e" cm="1" vm="1">
        <f t="array" ref="V11">_xlfn.LAMBDA(_xlpm.SALDO_DEVEDOR,_xlpm.TOTAL_PARCELAS,_xlpm.TAXA_DE_JUROS,
    (_xlpm.SALDO_DEVEDOR-SUM(FV(_xlpm.TAXA_DE_JUROS,_xlfn.SEQUENCE(_xlpm.TOTAL_PARCELAS-1)-1,,-(PMT(_xlpm.TAXA_DE_JUROS,_xlpm.TOTAL_PARCELAS,-_xlpm.SALDO_DEVEDOR)-(_xlpm.SALDO_DEVEDOR*_xlpm.TAXA_DE_JUROS)))))*_xlpm.TAXA_DE_JUROS)</f>
        <v>#VALUE!</v>
      </c>
      <c r="W11" s="59" cm="1">
        <f t="array" ref="W11">PRICE.JUROS.ULTIMA(I1,I3,I2)</f>
        <v>25989.399458815482</v>
      </c>
      <c r="X11" s="60"/>
    </row>
    <row r="12" spans="1:24" x14ac:dyDescent="0.25">
      <c r="A12" s="48">
        <v>5</v>
      </c>
      <c r="B12" s="49">
        <v>600000</v>
      </c>
      <c r="C12" s="49">
        <v>100000</v>
      </c>
      <c r="D12" s="49">
        <v>90000</v>
      </c>
      <c r="E12" s="49">
        <v>190000</v>
      </c>
      <c r="H12" s="48">
        <v>5</v>
      </c>
      <c r="I12" s="49">
        <v>0</v>
      </c>
      <c r="J12" s="49">
        <v>199252.0625175848</v>
      </c>
      <c r="K12" s="49">
        <v>0</v>
      </c>
      <c r="L12" s="49">
        <v>199252.0625175848</v>
      </c>
      <c r="P12" s="61"/>
      <c r="R12" s="61"/>
      <c r="U12" s="50" t="s">
        <v>135</v>
      </c>
      <c r="V12" s="55" t="e" cm="1" vm="1">
        <f t="array" ref="V12">_xlfn.LAMBDA(_xlpm.SALDO_DEVEDOR,_xlpm.TOTAL_PARCELAS,_xlpm.TAXA_DE_JUROS,PMT(_xlpm.TAXA_DE_JUROS,_xlpm.TOTAL_PARCELAS,-_xlpm.SALDO_DEVEDOR)-(_xlpm.SALDO_DEVEDOR*_xlpm.TAXA_DE_JUROS))</f>
        <v>#VALUE!</v>
      </c>
      <c r="W12" s="59" cm="1">
        <f t="array" ref="W12">PRICE.AMORTIZACAO.PRIMEIRA(I1,I3,I2)</f>
        <v>49252.062517584796</v>
      </c>
    </row>
    <row r="13" spans="1:24" x14ac:dyDescent="0.25">
      <c r="A13" s="48">
        <v>6</v>
      </c>
      <c r="B13" s="49">
        <v>500000</v>
      </c>
      <c r="C13" s="49">
        <v>100000</v>
      </c>
      <c r="D13" s="49">
        <v>75000</v>
      </c>
      <c r="E13" s="49">
        <v>175000</v>
      </c>
      <c r="H13" s="48">
        <v>6</v>
      </c>
      <c r="I13" s="49">
        <v>0</v>
      </c>
      <c r="J13" s="49">
        <v>199252.0625175848</v>
      </c>
      <c r="K13" s="49">
        <v>0</v>
      </c>
      <c r="L13" s="49">
        <v>199252.0625175848</v>
      </c>
      <c r="P13" s="61"/>
      <c r="U13" s="50" t="s">
        <v>136</v>
      </c>
      <c r="V13" s="55" t="e" cm="1" vm="1">
        <f t="array" ref="V13">_xlfn.LAMBDA(_xlpm.SALDO_DEVEDOR,_xlpm.TOTAL_PARCELAS,_xlpm.PARCELA_PROCURADA,_xlpm.TAXA_DE_JUROS,FV(_xlpm.TAXA_DE_JUROS,_xlpm.PARCELA_PROCURADA-1,,-(PMT(_xlpm.TAXA_DE_JUROS,_xlpm.TOTAL_PARCELAS,-_xlpm.SALDO_DEVEDOR)-(_xlpm.SALDO_DEVEDOR*_xlpm.TAXA_DE_JUROS))))</f>
        <v>#VALUE!</v>
      </c>
      <c r="W13" s="59" cm="1">
        <f t="array" ref="W13">PRICE.AMORTIZACAO.BUSCAR(I1,I3,H24,I2)</f>
        <v>65135.852679505886</v>
      </c>
    </row>
    <row r="14" spans="1:24" x14ac:dyDescent="0.25">
      <c r="A14" s="48">
        <v>7</v>
      </c>
      <c r="B14" s="49">
        <v>400000</v>
      </c>
      <c r="C14" s="49">
        <v>100000</v>
      </c>
      <c r="D14" s="49">
        <v>60000</v>
      </c>
      <c r="E14" s="49">
        <v>160000</v>
      </c>
      <c r="H14" s="48">
        <v>7</v>
      </c>
      <c r="I14" s="49">
        <v>0</v>
      </c>
      <c r="J14" s="49">
        <v>199252.0625175848</v>
      </c>
      <c r="K14" s="49">
        <v>0</v>
      </c>
      <c r="L14" s="49">
        <v>199252.0625175848</v>
      </c>
      <c r="P14" s="61"/>
      <c r="U14" s="50" t="s">
        <v>137</v>
      </c>
      <c r="V14" s="50" t="e" cm="1" vm="1">
        <f t="array" ref="V14">_xlfn.LAMBDA(_xlpm.SALDO_DEVEDOR,_xlpm.TOTAL_PARCELAS,_xlpm.TAXA_DE_JUROS,FV(_xlpm.TAXA_DE_JUROS,_xlpm.TOTAL_PARCELAS-1,,-(PMT(_xlpm.TAXA_DE_JUROS,_xlpm.TOTAL_PARCELAS,-_xlpm.SALDO_DEVEDOR)-(_xlpm.SALDO_DEVEDOR*_xlpm.TAXA_DE_JUROS))))</f>
        <v>#VALUE!</v>
      </c>
      <c r="W14" s="59" cm="1">
        <f t="array" ref="W14">PRICE.AMORTIZACAO.ULTIMA(I1,I3,I2)</f>
        <v>173262.66305876925</v>
      </c>
    </row>
    <row r="15" spans="1:24" x14ac:dyDescent="0.25">
      <c r="A15" s="48">
        <v>8</v>
      </c>
      <c r="B15" s="49">
        <v>300000</v>
      </c>
      <c r="C15" s="49">
        <v>100000</v>
      </c>
      <c r="D15" s="49">
        <v>45000</v>
      </c>
      <c r="E15" s="49">
        <v>145000</v>
      </c>
      <c r="H15" s="48">
        <v>8</v>
      </c>
      <c r="I15" s="49">
        <v>0</v>
      </c>
      <c r="J15" s="49">
        <v>199252.0625175848</v>
      </c>
      <c r="K15" s="49">
        <v>0</v>
      </c>
      <c r="L15" s="49">
        <v>199252.0625175848</v>
      </c>
      <c r="U15" s="50" t="s">
        <v>138</v>
      </c>
      <c r="V15" s="50" t="e" cm="1" vm="1">
        <f t="array" ref="V15">_xlfn.LAMBDA(_xlpm.SALDO_DEVEDOR,_xlpm.TOTAL_PARCELAS,_xlpm.PARCELA_PROCURADA,_xlpm.TAXA_DE_JUROS,
    IF(_xlpm.PARCELA_PROCURADA&lt;2,
        _xlpm.SALDO_DEVEDOR,
        _xlpm.SALDO_DEVEDOR-SUM(FV(_xlpm.TAXA_DE_JUROS,_xlfn.SEQUENCE(_xlpm.PARCELA_PROCURADA-1)-1,,-(PMT(_xlpm.TAXA_DE_JUROS,_xlpm.TOTAL_PARCELAS,-_xlpm.SALDO_DEVEDOR)-(_xlpm.SALDO_DEVEDOR*_xlpm.TAXA_DE_JUROS))))))</f>
        <v>#VALUE!</v>
      </c>
      <c r="W15" s="59" cm="1">
        <f t="array" ref="W15">PRICE.SALDO.BUSCAR(I1,I3,H24,I2)</f>
        <v>894108.06558719266</v>
      </c>
      <c r="X15" s="59" cm="1">
        <f t="array" ref="X15">IF(H24&lt;2,I1,I1-SUM(FV(I2,_xlfn.SEQUENCE(H24-1)-1,,-(PMT(I2,I3,-I1)-(I1*I2)))))</f>
        <v>894108.06558719266</v>
      </c>
    </row>
    <row r="16" spans="1:24" x14ac:dyDescent="0.25">
      <c r="A16" s="48">
        <v>9</v>
      </c>
      <c r="B16" s="49">
        <v>200000</v>
      </c>
      <c r="C16" s="49">
        <v>100000</v>
      </c>
      <c r="D16" s="49">
        <v>30000</v>
      </c>
      <c r="E16" s="49">
        <v>130000</v>
      </c>
      <c r="H16" s="48">
        <v>9</v>
      </c>
      <c r="I16" s="49">
        <v>0</v>
      </c>
      <c r="J16" s="49">
        <v>199252.0625175848</v>
      </c>
      <c r="K16" s="49">
        <v>0</v>
      </c>
      <c r="L16" s="49">
        <v>199252.0625175848</v>
      </c>
      <c r="U16" s="50" t="s">
        <v>139</v>
      </c>
      <c r="V16" s="50" t="e" cm="1" vm="1">
        <f t="array" ref="V16">_xlfn.LAMBDA(_xlpm.SALDO_DEVEDOR,_xlpm.TOTAL_PARCELAS,_xlpm.TAXA_DE_JUROS,_xlpm.SALDO_DEVEDOR-FV(_xlpm.TAXA_DE_JUROS,_xlfn.SEQUENCE(_xlpm.TOTAL_PARCELAS)-1,-(PMT(_xlpm.TAXA_DE_JUROS,_xlpm.TOTAL_PARCELAS,-_xlpm.SALDO_DEVEDOR)-(_xlpm.SALDO_DEVEDOR*_xlpm.TAXA_DE_JUROS))))</f>
        <v>#VALUE!</v>
      </c>
      <c r="W16" s="59" t="b" cm="1">
        <f t="array" ref="W16">AND(PRICE.TABELA.SALDO(I1,I3,I2)=I22:I31)</f>
        <v>1</v>
      </c>
    </row>
    <row r="17" spans="1:26" x14ac:dyDescent="0.25">
      <c r="A17" s="48">
        <v>10</v>
      </c>
      <c r="B17" s="49">
        <v>100000</v>
      </c>
      <c r="C17" s="49">
        <v>100000</v>
      </c>
      <c r="D17" s="49">
        <v>15000</v>
      </c>
      <c r="E17" s="49">
        <v>115000</v>
      </c>
      <c r="H17" s="48">
        <v>10</v>
      </c>
      <c r="I17" s="49">
        <v>0</v>
      </c>
      <c r="J17" s="49">
        <v>199252.0625175848</v>
      </c>
      <c r="K17" s="49">
        <v>0</v>
      </c>
      <c r="L17" s="49">
        <v>199252.0625175848</v>
      </c>
      <c r="U17" s="50" t="s">
        <v>140</v>
      </c>
      <c r="V17" s="50" t="e" cm="1" vm="1">
        <f t="array" ref="V17">_xlfn.LAMBDA(_xlpm.SALDO_DEVEDOR,_xlpm.TOTAL_PARCELAS,_xlpm.TAXA_DE_JUROS,
    FV(_xlpm.TAXA_DE_JUROS,_xlfn.SEQUENCE(_xlpm.TOTAL_PARCELAS)-1,,-(PMT(_xlpm.TAXA_DE_JUROS,_xlpm.TOTAL_PARCELAS,-_xlpm.SALDO_DEVEDOR)-(_xlpm.SALDO_DEVEDOR*_xlpm.TAXA_DE_JUROS))))</f>
        <v>#VALUE!</v>
      </c>
      <c r="W17" s="59" t="b" cm="1">
        <f t="array" ref="W17">AND(PRICE.TABELA.AMORTIZACAO(I1,I3,I2)=J22:J31)</f>
        <v>1</v>
      </c>
    </row>
    <row r="18" spans="1:26" x14ac:dyDescent="0.25">
      <c r="U18" s="50" t="s">
        <v>141</v>
      </c>
      <c r="V18" s="50" t="e" cm="1" vm="1">
        <f t="array" ref="V18">_xlfn.LAMBDA(_xlpm.SALDO_DEVEDOR,_xlpm.TOTAL_PARCELAS,_xlpm.TAXA_DE_JUROS,
    _xlfn.SEQUENCE(_xlpm.TOTAL_PARCELAS,,PMT(_xlpm.TAXA_DE_JUROS,_xlpm.TOTAL_PARCELAS,-_xlpm.SALDO_DEVEDOR),0)-
    FV(_xlpm.TAXA_DE_JUROS,_xlfn.SEQUENCE(_xlpm.TOTAL_PARCELAS)-1,,-(PMT(_xlpm.TAXA_DE_JUROS,_xlpm.TOTAL_PARCELAS,-_xlpm.SALDO_DEVEDOR)-(_xlpm.SALDO_DEVEDOR*_xlpm.TAXA_DE_JUROS))))</f>
        <v>#VALUE!</v>
      </c>
      <c r="W18" s="59" t="b" cm="1">
        <f t="array" ref="W18">AND(ROUND(PRICE.TABELA.JUROS(I1,I3,I2),7)=ROUND(K22:K31,7))</f>
        <v>1</v>
      </c>
    </row>
    <row r="19" spans="1:26" x14ac:dyDescent="0.25">
      <c r="P19" s="60">
        <v>10</v>
      </c>
      <c r="U19" s="50" t="s">
        <v>142</v>
      </c>
      <c r="V19" s="50" t="e" cm="1" vm="1">
        <f t="array" ref="V19">_xlfn.LAMBDA(_xlpm.SALDO_DEVEDOR,_xlpm.TOTAL_PARCELAS,_xlpm.TAXA_DE_JUROS,_xlfn.SEQUENCE(_xlpm.TOTAL_PARCELAS,,PMT(_xlpm.TAXA_DE_JUROS,_xlpm.TOTAL_PARCELAS,-_xlpm.SALDO_DEVEDOR),0))</f>
        <v>#VALUE!</v>
      </c>
      <c r="W19" s="59" t="b" cm="1">
        <f t="array" ref="W19">AND(PRICE.TABELA.PARCELAS(I1,I3,I2)=L22:L31)</f>
        <v>1</v>
      </c>
    </row>
    <row r="20" spans="1:26" x14ac:dyDescent="0.25">
      <c r="H20" s="48" t="s">
        <v>100</v>
      </c>
      <c r="I20" s="49" t="s">
        <v>127</v>
      </c>
      <c r="J20" s="49" t="s">
        <v>128</v>
      </c>
      <c r="K20" s="49" t="s">
        <v>80</v>
      </c>
      <c r="L20" s="49" t="s">
        <v>81</v>
      </c>
      <c r="O20" s="60" t="s">
        <v>100</v>
      </c>
      <c r="P20" s="60" t="s">
        <v>127</v>
      </c>
      <c r="Q20" s="60" t="s">
        <v>128</v>
      </c>
      <c r="R20" s="60" t="s">
        <v>80</v>
      </c>
      <c r="S20" s="60" t="s">
        <v>81</v>
      </c>
      <c r="U20" s="50" t="s">
        <v>143</v>
      </c>
      <c r="V20" s="50" t="e" cm="1" vm="1">
        <f t="array" ref="V20">_xlfn.LAMBDA(_xlpm.TOTAL_PARCELAS,_xlfn.SEQUENCE(_xlpm.TOTAL_PARCELAS))</f>
        <v>#VALUE!</v>
      </c>
      <c r="W20" s="59" t="b" cm="1">
        <f t="array" ref="W20">AND(PRICE.TABELA.PERIODOS(I3)=H22:H31)</f>
        <v>1</v>
      </c>
    </row>
    <row r="21" spans="1:26" x14ac:dyDescent="0.25">
      <c r="H21" s="48">
        <v>0</v>
      </c>
      <c r="I21" s="49">
        <v>1000000</v>
      </c>
      <c r="L21" s="49" cm="1">
        <f t="array" ref="L21:L31">IF(_xlfn.ANCHORARRAY(H7)=0,0,PMT(I2,I3,-I1))</f>
        <v>0</v>
      </c>
      <c r="O21" s="60" cm="1">
        <f t="array" ref="O21:O30">PRICE.TABELA.PERIODOS(I3)</f>
        <v>1</v>
      </c>
      <c r="P21" s="60" cm="1">
        <f t="array" ref="P21:P30">I1-FV(I2,_xlfn.SEQUENCE(I3)-1,-J22)</f>
        <v>1000000</v>
      </c>
      <c r="Q21" s="60" cm="1">
        <f t="array" ref="Q21:Q30">FV(I2,_xlfn.SEQUENCE(I3)-1,,-(PMT(I2,I3,-I1)-(I1*I2)))</f>
        <v>49252.062517584796</v>
      </c>
      <c r="S21" s="60" cm="1">
        <f t="array" ref="S21:S30">_xlfn.SEQUENCE(I3,,PMT(I2,I3,-I1),0)</f>
        <v>199252.0625175848</v>
      </c>
      <c r="U21" s="50" t="s">
        <v>144</v>
      </c>
      <c r="V21" s="50" t="e" cm="1" vm="1">
        <f t="array" ref="V21">_xlfn.LAMBDA(_xlpm.SALDO_DEVEDOR,_xlpm.TOTAL_PARCELAS,_xlpm.TAXA_DE_JUROS,
_xlfn.HSTACK(
    _xlfn.VSTACK("PERIODO",_xlfn.SEQUENCE(_xlpm.TOTAL_PARCELAS)),
    _xlfn.VSTACK("SALDO DEVEDOR",_xlpm.SALDO_DEVEDOR-FV(_xlpm.TAXA_DE_JUROS,_xlfn.SEQUENCE(_xlpm.TOTAL_PARCELAS)-1,-(PMT(_xlpm.TAXA_DE_JUROS,_xlpm.TOTAL_PARCELAS,-_xlpm.SALDO_DEVEDOR)-(_xlpm.SALDO_DEVEDOR*_xlpm.TAXA_DE_JUROS)))),
    _xlfn.VSTACK("AMORT",FV(_xlpm.TAXA_DE_JUROS,_xlfn.SEQUENCE(_xlpm.TOTAL_PARCELAS)-1,,-(PMT(_xlpm.TAXA_DE_JUROS,_xlpm.TOTAL_PARCELAS,-_xlpm.SALDO_DEVEDOR)-(_xlpm.SALDO_DEVEDOR*_xlpm.TAXA_DE_JUROS)))),
    _xlfn.VSTACK("JUROS",_xlfn.SEQUENCE(_xlpm.TOTAL_PARCELAS,,PMT(_xlpm.TAXA_DE_JUROS,_xlpm.TOTAL_PARCELAS,-_xlpm.SALDO_DEVEDOR),0)-FV(_xlpm.TAXA_DE_JUROS,_xlfn.SEQUENCE(_xlpm.TOTAL_PARCELAS)-1,,-(PMT(_xlpm.TAXA_DE_JUROS,_xlpm.TOTAL_PARCELAS,-_xlpm.SALDO_DEVEDOR)-(_xlpm.SALDO_DEVEDOR*_xlpm.TAXA_DE_JUROS)))),
    _xlfn.VSTACK("PARCELA",_xlfn.SEQUENCE(_xlpm.TOTAL_PARCELAS,,PMT(_xlpm.TAXA_DE_JUROS,_xlpm.TOTAL_PARCELAS,-_xlpm.SALDO_DEVEDOR),0))))</f>
        <v>#VALUE!</v>
      </c>
    </row>
    <row r="22" spans="1:26" x14ac:dyDescent="0.25">
      <c r="H22" s="48">
        <v>1</v>
      </c>
      <c r="I22" s="49">
        <v>1000000</v>
      </c>
      <c r="J22" s="49">
        <f>L22-K22</f>
        <v>49252.062517584796</v>
      </c>
      <c r="K22" s="49">
        <f>I22*$I$2</f>
        <v>150000</v>
      </c>
      <c r="L22" s="49">
        <v>199252.0625175848</v>
      </c>
      <c r="M22" s="55">
        <f>J22</f>
        <v>49252.062517584796</v>
      </c>
      <c r="O22" s="60">
        <v>2</v>
      </c>
      <c r="P22" s="60">
        <v>950747.93748241523</v>
      </c>
      <c r="Q22" s="66">
        <v>56639.87189522251</v>
      </c>
      <c r="S22" s="60">
        <v>199252.0625175848</v>
      </c>
    </row>
    <row r="23" spans="1:26" x14ac:dyDescent="0.25">
      <c r="H23" s="48">
        <v>2</v>
      </c>
      <c r="I23" s="49">
        <f>I22-J22</f>
        <v>950747.93748241523</v>
      </c>
      <c r="J23" s="49">
        <f t="shared" ref="J23:J31" si="0">L23-K23</f>
        <v>56639.871895222517</v>
      </c>
      <c r="K23" s="49">
        <f t="shared" ref="K23:K31" si="1">I23*$I$2</f>
        <v>142612.19062236228</v>
      </c>
      <c r="L23" s="49">
        <v>199252.0625175848</v>
      </c>
      <c r="M23" s="55">
        <f t="shared" ref="M23:M31" si="2">M22+J23</f>
        <v>105891.93441280731</v>
      </c>
      <c r="O23" s="60">
        <v>3</v>
      </c>
      <c r="P23" s="60">
        <v>894108.06558719277</v>
      </c>
      <c r="Q23" s="60">
        <v>65135.852679505886</v>
      </c>
      <c r="S23" s="60">
        <v>199252.0625175848</v>
      </c>
    </row>
    <row r="24" spans="1:26" x14ac:dyDescent="0.25">
      <c r="G24" s="55">
        <f>I24-I22</f>
        <v>-105891.93441280723</v>
      </c>
      <c r="H24" s="57">
        <v>3</v>
      </c>
      <c r="I24" s="56">
        <f t="shared" ref="I24:I31" si="3">I23-J23</f>
        <v>894108.06558719277</v>
      </c>
      <c r="J24" s="56">
        <f t="shared" si="0"/>
        <v>65135.852679505886</v>
      </c>
      <c r="K24" s="56">
        <f t="shared" si="1"/>
        <v>134116.20983807891</v>
      </c>
      <c r="L24" s="56">
        <v>199252.0625175848</v>
      </c>
      <c r="M24" s="55">
        <f t="shared" si="2"/>
        <v>171027.7870923132</v>
      </c>
      <c r="O24" s="60">
        <v>4</v>
      </c>
      <c r="P24" s="60">
        <v>828972.21290768695</v>
      </c>
      <c r="Q24" s="60">
        <v>74906.230581431751</v>
      </c>
      <c r="S24" s="60">
        <v>199252.0625175848</v>
      </c>
    </row>
    <row r="25" spans="1:26" x14ac:dyDescent="0.25">
      <c r="G25" s="55">
        <f>I25-I22</f>
        <v>-171027.78709231317</v>
      </c>
      <c r="H25" s="48">
        <v>4</v>
      </c>
      <c r="I25" s="49">
        <f t="shared" si="3"/>
        <v>828972.21290768683</v>
      </c>
      <c r="J25" s="49">
        <f t="shared" si="0"/>
        <v>74906.230581431781</v>
      </c>
      <c r="K25" s="49">
        <f t="shared" si="1"/>
        <v>124345.83193615302</v>
      </c>
      <c r="L25" s="49">
        <v>199252.0625175848</v>
      </c>
      <c r="M25" s="55">
        <f t="shared" si="2"/>
        <v>245934.01767374499</v>
      </c>
      <c r="O25" s="60">
        <v>5</v>
      </c>
      <c r="P25" s="60">
        <v>754065.98232625518</v>
      </c>
      <c r="Q25" s="60">
        <v>86142.165168646519</v>
      </c>
      <c r="S25" s="60">
        <v>199252.0625175848</v>
      </c>
    </row>
    <row r="26" spans="1:26" x14ac:dyDescent="0.25">
      <c r="H26" s="48">
        <v>5</v>
      </c>
      <c r="I26" s="49">
        <f t="shared" si="3"/>
        <v>754065.98232625506</v>
      </c>
      <c r="J26" s="49">
        <f t="shared" si="0"/>
        <v>86142.165168646534</v>
      </c>
      <c r="K26" s="49">
        <f t="shared" si="1"/>
        <v>113109.89734893826</v>
      </c>
      <c r="L26" s="49">
        <v>199252.0625175848</v>
      </c>
      <c r="M26" s="55">
        <f t="shared" si="2"/>
        <v>332076.18284239154</v>
      </c>
      <c r="O26" s="60">
        <v>6</v>
      </c>
      <c r="P26" s="60">
        <v>667923.81715760869</v>
      </c>
      <c r="Q26" s="60">
        <v>99063.489943943496</v>
      </c>
      <c r="S26" s="60">
        <v>199252.0625175848</v>
      </c>
      <c r="W26" s="60"/>
      <c r="X26" s="60"/>
      <c r="Y26" s="60"/>
      <c r="Z26" s="60"/>
    </row>
    <row r="27" spans="1:26" x14ac:dyDescent="0.25">
      <c r="H27" s="48">
        <v>6</v>
      </c>
      <c r="I27" s="49">
        <f t="shared" si="3"/>
        <v>667923.81715760857</v>
      </c>
      <c r="J27" s="49">
        <f t="shared" si="0"/>
        <v>99063.48994394351</v>
      </c>
      <c r="K27" s="49">
        <f t="shared" si="1"/>
        <v>100188.57257364129</v>
      </c>
      <c r="L27" s="49">
        <v>199252.0625175848</v>
      </c>
      <c r="M27" s="55">
        <f t="shared" si="2"/>
        <v>431139.67278633505</v>
      </c>
      <c r="O27" s="60">
        <v>7</v>
      </c>
      <c r="P27" s="60">
        <v>568860.32721366524</v>
      </c>
      <c r="Q27" s="60">
        <v>113923.013435535</v>
      </c>
      <c r="S27" s="60">
        <v>199252.0625175848</v>
      </c>
      <c r="W27" s="60"/>
      <c r="X27" s="60"/>
      <c r="Y27" s="60"/>
      <c r="Z27" s="60"/>
    </row>
    <row r="28" spans="1:26" x14ac:dyDescent="0.25">
      <c r="H28" s="48">
        <v>7</v>
      </c>
      <c r="I28" s="49">
        <f t="shared" si="3"/>
        <v>568860.327213665</v>
      </c>
      <c r="J28" s="49">
        <f t="shared" si="0"/>
        <v>113923.01343553505</v>
      </c>
      <c r="K28" s="49">
        <f t="shared" si="1"/>
        <v>85329.049082049751</v>
      </c>
      <c r="L28" s="49">
        <v>199252.0625175848</v>
      </c>
      <c r="M28" s="55">
        <f t="shared" si="2"/>
        <v>545062.68622187013</v>
      </c>
      <c r="O28" s="60">
        <v>8</v>
      </c>
      <c r="P28" s="60">
        <v>454937.31377813045</v>
      </c>
      <c r="Q28" s="60">
        <v>131011.46545086523</v>
      </c>
      <c r="S28" s="60">
        <v>199252.0625175848</v>
      </c>
      <c r="W28" s="60"/>
      <c r="X28" s="60"/>
      <c r="Y28" s="60"/>
      <c r="Z28" s="60"/>
    </row>
    <row r="29" spans="1:26" x14ac:dyDescent="0.25">
      <c r="H29" s="48">
        <v>8</v>
      </c>
      <c r="I29" s="49">
        <f t="shared" si="3"/>
        <v>454937.31377812999</v>
      </c>
      <c r="J29" s="49">
        <f t="shared" si="0"/>
        <v>131011.4654508653</v>
      </c>
      <c r="K29" s="49">
        <f t="shared" si="1"/>
        <v>68240.597066719492</v>
      </c>
      <c r="L29" s="49">
        <v>199252.0625175848</v>
      </c>
      <c r="M29" s="55">
        <f t="shared" si="2"/>
        <v>676074.15167273546</v>
      </c>
      <c r="O29" s="60">
        <v>9</v>
      </c>
      <c r="P29" s="60">
        <v>323925.84832726535</v>
      </c>
      <c r="Q29" s="60">
        <v>150663.185268495</v>
      </c>
      <c r="S29" s="60">
        <v>199252.0625175848</v>
      </c>
      <c r="W29" s="60"/>
      <c r="X29" s="60"/>
      <c r="Y29" s="60"/>
      <c r="Z29" s="60"/>
    </row>
    <row r="30" spans="1:26" x14ac:dyDescent="0.25">
      <c r="D30" s="58"/>
      <c r="H30" s="48">
        <v>9</v>
      </c>
      <c r="I30" s="49">
        <f t="shared" si="3"/>
        <v>323925.84832726466</v>
      </c>
      <c r="J30" s="49">
        <f t="shared" si="0"/>
        <v>150663.18526849512</v>
      </c>
      <c r="K30" s="49">
        <f t="shared" si="1"/>
        <v>48588.877249089695</v>
      </c>
      <c r="L30" s="49">
        <v>199252.0625175848</v>
      </c>
      <c r="M30" s="55">
        <f t="shared" si="2"/>
        <v>826737.33694123058</v>
      </c>
      <c r="O30" s="60">
        <v>10</v>
      </c>
      <c r="P30" s="60">
        <v>173262.66305877035</v>
      </c>
      <c r="Q30" s="60">
        <v>173262.66305876925</v>
      </c>
      <c r="S30" s="60">
        <v>199252.0625175848</v>
      </c>
      <c r="W30" s="60"/>
      <c r="X30" s="60"/>
      <c r="Y30" s="60"/>
      <c r="Z30" s="60"/>
    </row>
    <row r="31" spans="1:26" x14ac:dyDescent="0.25">
      <c r="D31" s="58"/>
      <c r="H31" s="48">
        <v>10</v>
      </c>
      <c r="I31" s="49">
        <f t="shared" si="3"/>
        <v>173262.66305876954</v>
      </c>
      <c r="J31" s="49">
        <f t="shared" si="0"/>
        <v>173262.66305876937</v>
      </c>
      <c r="K31" s="49">
        <f t="shared" si="1"/>
        <v>25989.399458815431</v>
      </c>
      <c r="L31" s="49">
        <v>199252.0625175848</v>
      </c>
      <c r="M31" s="55">
        <f t="shared" si="2"/>
        <v>1000000</v>
      </c>
      <c r="W31" s="60"/>
      <c r="X31" s="60"/>
      <c r="Y31" s="60"/>
      <c r="Z31" s="60"/>
    </row>
    <row r="32" spans="1:26" x14ac:dyDescent="0.25">
      <c r="D32" s="53"/>
      <c r="W32" s="60"/>
      <c r="X32" s="60"/>
      <c r="Y32" s="60"/>
      <c r="Z32" s="60"/>
    </row>
    <row r="33" spans="17:26" x14ac:dyDescent="0.25">
      <c r="W33" s="60"/>
      <c r="X33" s="60"/>
      <c r="Y33" s="60"/>
      <c r="Z33" s="60"/>
    </row>
    <row r="34" spans="17:26" x14ac:dyDescent="0.25">
      <c r="W34" s="60"/>
      <c r="X34" s="60"/>
      <c r="Y34" s="60"/>
      <c r="Z34" s="60"/>
    </row>
    <row r="35" spans="17:26" x14ac:dyDescent="0.25">
      <c r="W35" s="60"/>
      <c r="X35" s="60"/>
      <c r="Y35" s="60"/>
      <c r="Z35" s="60"/>
    </row>
    <row r="36" spans="17:26" x14ac:dyDescent="0.25">
      <c r="Q36" s="67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Fórmulas</vt:lpstr>
      <vt:lpstr>Unificação N-N</vt:lpstr>
      <vt:lpstr>Precificação</vt:lpstr>
      <vt:lpstr>Demonstrativo SAC</vt:lpstr>
      <vt:lpstr>Demonstrativo PRICE</vt:lpstr>
      <vt:lpstr>Demonstrativo PRICE2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Willian Ruas</dc:creator>
  <cp:lastModifiedBy>Willian Ruas</cp:lastModifiedBy>
  <dcterms:created xsi:type="dcterms:W3CDTF">2023-05-23T15:08:13Z</dcterms:created>
  <dcterms:modified xsi:type="dcterms:W3CDTF">2023-12-14T13:01:34Z</dcterms:modified>
</cp:coreProperties>
</file>